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4\"/>
    </mc:Choice>
  </mc:AlternateContent>
  <xr:revisionPtr revIDLastSave="0" documentId="13_ncr:1_{9F35D504-908D-42C0-88E2-5AF1F5485F24}" xr6:coauthVersionLast="47" xr6:coauthVersionMax="47" xr10:uidLastSave="{00000000-0000-0000-0000-000000000000}"/>
  <bookViews>
    <workbookView xWindow="-120" yWindow="-120" windowWidth="29040" windowHeight="15720" tabRatio="793" activeTab="4" xr2:uid="{00000000-000D-0000-FFFF-FFFF00000000}"/>
  </bookViews>
  <sheets>
    <sheet name=".1 Cover" sheetId="5" r:id="rId1"/>
    <sheet name=".2 Direct &amp; Indirect Personnel" sheetId="1" r:id="rId2"/>
    <sheet name=".3 Direct &amp; Indirect Costs" sheetId="2" r:id="rId3"/>
    <sheet name=".4 Equipment Use Fee (Indirect)" sheetId="3" r:id="rId4"/>
    <sheet name=".5 Lookback Analysis" sheetId="9" r:id="rId5"/>
  </sheets>
  <definedNames>
    <definedName name="_xlnm.Print_Area" localSheetId="0">'.1 Cover'!$A$1:$V$40</definedName>
    <definedName name="_xlnm.Print_Area" localSheetId="1">'.2 Direct &amp; Indirect Personnel'!$A:$K</definedName>
    <definedName name="_xlnm.Print_Area" localSheetId="2">'.3 Direct &amp; Indirect Costs'!$A$1:$I$54</definedName>
    <definedName name="_xlnm.Print_Area" localSheetId="3">'.4 Equipment Use Fee (Indirect)'!$A:$L</definedName>
    <definedName name="_xlnm.Print_Area" localSheetId="4">'.5 Lookback Analysis'!$A$1:$M$47</definedName>
    <definedName name="_xlnm.Print_Titles" localSheetId="1">'.2 Direct &amp; Indirect Personnel'!$1:$1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9" l="1"/>
  <c r="J33" i="9" s="1"/>
  <c r="J32" i="9"/>
  <c r="O25" i="9"/>
  <c r="C12" i="5"/>
  <c r="C13" i="5" s="1"/>
  <c r="R31" i="5"/>
  <c r="E10" i="2"/>
  <c r="D154" i="1" l="1"/>
  <c r="D118" i="1"/>
  <c r="D104" i="1"/>
  <c r="D87" i="1"/>
  <c r="D67" i="1"/>
  <c r="D42" i="1"/>
  <c r="D29"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B222" i="1" l="1"/>
  <c r="D222" i="1" s="1"/>
  <c r="E222" i="1" s="1"/>
  <c r="B221" i="1"/>
  <c r="D221" i="1" s="1"/>
  <c r="E221" i="1" s="1"/>
  <c r="B217" i="1"/>
  <c r="D217" i="1" s="1"/>
  <c r="E217" i="1" s="1"/>
  <c r="B215" i="1"/>
  <c r="D215" i="1" s="1"/>
  <c r="E215" i="1" s="1"/>
  <c r="B213" i="1"/>
  <c r="D213" i="1" s="1"/>
  <c r="E213" i="1" s="1"/>
  <c r="B211" i="1"/>
  <c r="D211" i="1" s="1"/>
  <c r="E211" i="1" s="1"/>
  <c r="B207" i="1"/>
  <c r="D207" i="1" s="1"/>
  <c r="E207" i="1" s="1"/>
  <c r="B219" i="1"/>
  <c r="D219" i="1" s="1"/>
  <c r="E219" i="1" s="1"/>
  <c r="B206" i="1"/>
  <c r="D206" i="1" s="1"/>
  <c r="E206" i="1" s="1"/>
  <c r="B205" i="1"/>
  <c r="D205" i="1" s="1"/>
  <c r="E205" i="1" s="1"/>
  <c r="B203" i="1"/>
  <c r="D203" i="1" s="1"/>
  <c r="E203" i="1" s="1"/>
  <c r="B198" i="1"/>
  <c r="D198" i="1" s="1"/>
  <c r="E198" i="1" s="1"/>
  <c r="B218" i="1"/>
  <c r="D218" i="1" s="1"/>
  <c r="E218" i="1" s="1"/>
  <c r="B214" i="1"/>
  <c r="D214" i="1" s="1"/>
  <c r="E214" i="1" s="1"/>
  <c r="B199" i="1"/>
  <c r="D199" i="1" s="1"/>
  <c r="E199" i="1" s="1"/>
  <c r="B185" i="1"/>
  <c r="D185" i="1" s="1"/>
  <c r="E185" i="1" s="1"/>
  <c r="B184" i="1"/>
  <c r="D184" i="1" s="1"/>
  <c r="E184" i="1" s="1"/>
  <c r="B210" i="1"/>
  <c r="D210" i="1" s="1"/>
  <c r="E210" i="1" s="1"/>
  <c r="B191" i="1"/>
  <c r="D191" i="1" s="1"/>
  <c r="E191" i="1" s="1"/>
  <c r="B183" i="1"/>
  <c r="D183" i="1" s="1"/>
  <c r="E183" i="1" s="1"/>
  <c r="B169" i="1"/>
  <c r="D169" i="1" s="1"/>
  <c r="E169" i="1" s="1"/>
  <c r="E48" i="9"/>
  <c r="E45" i="9"/>
  <c r="H45" i="9"/>
  <c r="G45" i="9"/>
  <c r="F45" i="9"/>
  <c r="D45" i="9"/>
  <c r="C45" i="9"/>
  <c r="S41" i="2"/>
  <c r="S40" i="2"/>
  <c r="S39" i="2"/>
  <c r="S38" i="2"/>
  <c r="S37" i="2"/>
  <c r="S36" i="2"/>
  <c r="S35" i="2"/>
  <c r="R34" i="2"/>
  <c r="Q34" i="2"/>
  <c r="P34" i="2"/>
  <c r="O34" i="2"/>
  <c r="N34" i="2"/>
  <c r="M34" i="2"/>
  <c r="R15" i="2"/>
  <c r="Q15" i="2"/>
  <c r="P15" i="2"/>
  <c r="O15" i="2"/>
  <c r="N15" i="2"/>
  <c r="M15" i="2"/>
  <c r="R9" i="3"/>
  <c r="Q9" i="3"/>
  <c r="P9" i="3"/>
  <c r="O9" i="3"/>
  <c r="N9" i="3"/>
  <c r="M9" i="3"/>
  <c r="S18" i="2"/>
  <c r="T18" i="2" s="1"/>
  <c r="Q20" i="2" s="1"/>
  <c r="S17" i="2"/>
  <c r="T17" i="2" s="1"/>
  <c r="S16" i="2"/>
  <c r="T16" i="2" s="1"/>
  <c r="S27" i="3"/>
  <c r="S26" i="3"/>
  <c r="S25" i="3"/>
  <c r="S15" i="3"/>
  <c r="S14" i="3"/>
  <c r="S13" i="3"/>
  <c r="S12" i="3"/>
  <c r="S11" i="3"/>
  <c r="S10" i="3"/>
  <c r="J116" i="1"/>
  <c r="J115" i="1"/>
  <c r="J114" i="1"/>
  <c r="J102" i="1"/>
  <c r="J101" i="1"/>
  <c r="J100" i="1"/>
  <c r="J99" i="1"/>
  <c r="J98" i="1"/>
  <c r="J85" i="1"/>
  <c r="J84" i="1"/>
  <c r="J83" i="1"/>
  <c r="J82" i="1"/>
  <c r="J81" i="1"/>
  <c r="J80" i="1"/>
  <c r="J79" i="1"/>
  <c r="J78" i="1"/>
  <c r="J65" i="1"/>
  <c r="J64" i="1"/>
  <c r="J63" i="1"/>
  <c r="J62" i="1"/>
  <c r="J61" i="1"/>
  <c r="J60" i="1"/>
  <c r="J59" i="1"/>
  <c r="J58" i="1"/>
  <c r="J57" i="1"/>
  <c r="J56" i="1"/>
  <c r="J55" i="1"/>
  <c r="J54" i="1"/>
  <c r="J53" i="1"/>
  <c r="J40" i="1"/>
  <c r="J39" i="1"/>
  <c r="J27" i="1"/>
  <c r="J26" i="1"/>
  <c r="J25" i="1"/>
  <c r="J24" i="1"/>
  <c r="J23" i="1"/>
  <c r="J22" i="1"/>
  <c r="J21" i="1"/>
  <c r="J20" i="1"/>
  <c r="J19" i="1"/>
  <c r="J18" i="1"/>
  <c r="J17" i="1"/>
  <c r="J16" i="1"/>
  <c r="J15" i="1"/>
  <c r="J14" i="1"/>
  <c r="B220" i="1"/>
  <c r="D220" i="1" s="1"/>
  <c r="E220" i="1" s="1"/>
  <c r="B216" i="1"/>
  <c r="D216" i="1" s="1"/>
  <c r="E216" i="1" s="1"/>
  <c r="B212" i="1"/>
  <c r="D212" i="1" s="1"/>
  <c r="E212" i="1" s="1"/>
  <c r="B209" i="1"/>
  <c r="D209" i="1" s="1"/>
  <c r="E209" i="1" s="1"/>
  <c r="B208" i="1"/>
  <c r="D208" i="1" s="1"/>
  <c r="E208" i="1" s="1"/>
  <c r="B204" i="1"/>
  <c r="D204" i="1" s="1"/>
  <c r="E204" i="1" s="1"/>
  <c r="B202" i="1"/>
  <c r="D202" i="1" s="1"/>
  <c r="E202" i="1" s="1"/>
  <c r="B201" i="1"/>
  <c r="D201" i="1" s="1"/>
  <c r="E201" i="1" s="1"/>
  <c r="B200" i="1"/>
  <c r="D200" i="1" s="1"/>
  <c r="E200" i="1" s="1"/>
  <c r="B197" i="1"/>
  <c r="D197" i="1" s="1"/>
  <c r="E197" i="1" s="1"/>
  <c r="B196" i="1"/>
  <c r="D196" i="1" s="1"/>
  <c r="E196" i="1" s="1"/>
  <c r="B195" i="1"/>
  <c r="D195" i="1" s="1"/>
  <c r="E195" i="1" s="1"/>
  <c r="B194" i="1"/>
  <c r="D194" i="1" s="1"/>
  <c r="E194" i="1" s="1"/>
  <c r="B193" i="1"/>
  <c r="D193" i="1" s="1"/>
  <c r="E193" i="1" s="1"/>
  <c r="B192" i="1"/>
  <c r="D192" i="1" s="1"/>
  <c r="E192" i="1" s="1"/>
  <c r="B190" i="1"/>
  <c r="D190" i="1" s="1"/>
  <c r="E190" i="1" s="1"/>
  <c r="B189" i="1"/>
  <c r="D189" i="1" s="1"/>
  <c r="E189" i="1" s="1"/>
  <c r="B188" i="1"/>
  <c r="D188" i="1" s="1"/>
  <c r="E188" i="1" s="1"/>
  <c r="B187" i="1"/>
  <c r="D187" i="1" s="1"/>
  <c r="E187" i="1" s="1"/>
  <c r="B186" i="1"/>
  <c r="D186" i="1" s="1"/>
  <c r="E186" i="1" s="1"/>
  <c r="B182" i="1"/>
  <c r="D182" i="1" s="1"/>
  <c r="E182" i="1" s="1"/>
  <c r="B181" i="1"/>
  <c r="D181" i="1" s="1"/>
  <c r="E181" i="1" s="1"/>
  <c r="B180" i="1"/>
  <c r="D180" i="1" s="1"/>
  <c r="E180" i="1" s="1"/>
  <c r="B179" i="1"/>
  <c r="D179" i="1" s="1"/>
  <c r="E179" i="1" s="1"/>
  <c r="B178" i="1"/>
  <c r="D178" i="1" s="1"/>
  <c r="E178" i="1" s="1"/>
  <c r="B177" i="1"/>
  <c r="D177" i="1" s="1"/>
  <c r="E177" i="1" s="1"/>
  <c r="B176" i="1"/>
  <c r="D176" i="1" s="1"/>
  <c r="E176" i="1" s="1"/>
  <c r="B175" i="1"/>
  <c r="D175" i="1" s="1"/>
  <c r="E175" i="1" s="1"/>
  <c r="B174" i="1"/>
  <c r="D174" i="1" s="1"/>
  <c r="E174" i="1" s="1"/>
  <c r="B173" i="1"/>
  <c r="D173" i="1" s="1"/>
  <c r="E173" i="1" s="1"/>
  <c r="B172" i="1"/>
  <c r="D172" i="1" s="1"/>
  <c r="E172" i="1" s="1"/>
  <c r="B171" i="1"/>
  <c r="D171" i="1" s="1"/>
  <c r="E171" i="1" s="1"/>
  <c r="B170" i="1"/>
  <c r="D170" i="1" s="1"/>
  <c r="E170" i="1" s="1"/>
  <c r="J42" i="1" l="1"/>
  <c r="J118" i="1"/>
  <c r="J67" i="1"/>
  <c r="J87" i="1"/>
  <c r="J104" i="1"/>
  <c r="R20" i="2"/>
  <c r="J29" i="1"/>
  <c r="O20" i="2"/>
  <c r="N20" i="2"/>
  <c r="P20" i="2"/>
  <c r="M20" i="2"/>
  <c r="F15" i="3" l="1"/>
  <c r="F14" i="3"/>
  <c r="F13" i="3"/>
  <c r="F12" i="3"/>
  <c r="F11" i="3"/>
  <c r="F10" i="3"/>
  <c r="H15" i="3"/>
  <c r="I15" i="3" s="1"/>
  <c r="K15" i="3" s="1"/>
  <c r="T15" i="3" s="1"/>
  <c r="H14" i="3"/>
  <c r="I14" i="3" s="1"/>
  <c r="K14" i="3" s="1"/>
  <c r="T14" i="3" s="1"/>
  <c r="H13" i="3"/>
  <c r="I13" i="3" s="1"/>
  <c r="H12" i="3"/>
  <c r="I12" i="3" s="1"/>
  <c r="H11" i="3"/>
  <c r="I11" i="3" s="1"/>
  <c r="H10" i="3"/>
  <c r="I10" i="3" s="1"/>
  <c r="K13" i="3" l="1"/>
  <c r="T13" i="3" s="1"/>
  <c r="K10" i="3"/>
  <c r="T10" i="3" s="1"/>
  <c r="N18" i="3" s="1"/>
  <c r="K11" i="3"/>
  <c r="T11" i="3" s="1"/>
  <c r="K12" i="3"/>
  <c r="T12" i="3" s="1"/>
  <c r="P18" i="3" s="1"/>
  <c r="O18" i="3"/>
  <c r="R18" i="3" l="1"/>
  <c r="Q18" i="3"/>
  <c r="M18" i="3"/>
  <c r="G39" i="2" l="1"/>
  <c r="T39" i="2" s="1"/>
  <c r="F146" i="1"/>
  <c r="G146" i="1" s="1"/>
  <c r="F147" i="1"/>
  <c r="G147" i="1" s="1"/>
  <c r="F148" i="1"/>
  <c r="G148" i="1" s="1"/>
  <c r="F149" i="1"/>
  <c r="G149" i="1" s="1"/>
  <c r="F150" i="1"/>
  <c r="G150" i="1" s="1"/>
  <c r="F151" i="1"/>
  <c r="G151" i="1" s="1"/>
  <c r="F152" i="1"/>
  <c r="G152" i="1" s="1"/>
  <c r="F145" i="1"/>
  <c r="G145" i="1" s="1"/>
  <c r="F144" i="1"/>
  <c r="A34" i="5"/>
  <c r="A33" i="5"/>
  <c r="J121" i="1"/>
  <c r="J107" i="1"/>
  <c r="J90" i="1"/>
  <c r="J70" i="1"/>
  <c r="A32" i="5"/>
  <c r="A31" i="5"/>
  <c r="A30" i="5"/>
  <c r="A29" i="5"/>
  <c r="J45" i="1"/>
  <c r="F40" i="1"/>
  <c r="F39" i="1"/>
  <c r="J32" i="1"/>
  <c r="F42" i="1" l="1"/>
  <c r="F154" i="1"/>
  <c r="R49" i="2"/>
  <c r="H47" i="9"/>
  <c r="H48" i="9" s="1"/>
  <c r="R41" i="3"/>
  <c r="N41" i="3"/>
  <c r="N49" i="2"/>
  <c r="D47" i="9"/>
  <c r="D48" i="9" s="1"/>
  <c r="P41" i="3"/>
  <c r="F47" i="9"/>
  <c r="F48" i="9" s="1"/>
  <c r="P49" i="2"/>
  <c r="E47" i="9"/>
  <c r="O41" i="3"/>
  <c r="O49" i="2"/>
  <c r="G47" i="9"/>
  <c r="G48" i="9" s="1"/>
  <c r="Q41" i="3"/>
  <c r="Q49" i="2"/>
  <c r="M41" i="3"/>
  <c r="M49" i="2"/>
  <c r="C47" i="9"/>
  <c r="G40" i="1"/>
  <c r="G39" i="1"/>
  <c r="J126" i="1"/>
  <c r="G144" i="1"/>
  <c r="C48" i="9" l="1"/>
  <c r="I48" i="9" s="1"/>
  <c r="I47" i="9"/>
  <c r="G42" i="1"/>
  <c r="J44" i="1" s="1"/>
  <c r="G154" i="1"/>
  <c r="G156" i="1" s="1"/>
  <c r="O26" i="9" s="1"/>
  <c r="G157" i="1"/>
  <c r="G49" i="2"/>
  <c r="K41" i="3"/>
  <c r="S41" i="3" s="1"/>
  <c r="I41" i="9"/>
  <c r="E23" i="2"/>
  <c r="J41" i="9" l="1"/>
  <c r="G158" i="1"/>
  <c r="J30" i="5" s="1"/>
  <c r="S49" i="2"/>
  <c r="I42" i="9"/>
  <c r="J46" i="1"/>
  <c r="G30" i="5" s="1"/>
  <c r="F116" i="1"/>
  <c r="F115" i="1"/>
  <c r="F114" i="1"/>
  <c r="F102" i="1"/>
  <c r="F101" i="1"/>
  <c r="F100" i="1"/>
  <c r="F99" i="1"/>
  <c r="F98" i="1"/>
  <c r="F85" i="1"/>
  <c r="F84" i="1"/>
  <c r="F83" i="1"/>
  <c r="F82" i="1"/>
  <c r="F81" i="1"/>
  <c r="F80" i="1"/>
  <c r="F79" i="1"/>
  <c r="F78" i="1"/>
  <c r="F65" i="1"/>
  <c r="F64" i="1"/>
  <c r="F63" i="1"/>
  <c r="F62" i="1"/>
  <c r="F61" i="1"/>
  <c r="F60" i="1"/>
  <c r="F59" i="1"/>
  <c r="F58" i="1"/>
  <c r="F57" i="1"/>
  <c r="F56" i="1"/>
  <c r="F55" i="1"/>
  <c r="F54" i="1"/>
  <c r="F53" i="1"/>
  <c r="F15" i="1"/>
  <c r="F16" i="1"/>
  <c r="F17" i="1"/>
  <c r="F18" i="1"/>
  <c r="F19" i="1"/>
  <c r="F20" i="1"/>
  <c r="F21" i="1"/>
  <c r="F22" i="1"/>
  <c r="F23" i="1"/>
  <c r="F24" i="1"/>
  <c r="F25" i="1"/>
  <c r="F26" i="1"/>
  <c r="F27" i="1"/>
  <c r="J33" i="5" l="1"/>
  <c r="J31" i="5"/>
  <c r="J29" i="5"/>
  <c r="J32" i="5"/>
  <c r="J34" i="5"/>
  <c r="F118" i="1"/>
  <c r="F87" i="1"/>
  <c r="F104" i="1"/>
  <c r="F67" i="1"/>
  <c r="G17" i="1"/>
  <c r="G25" i="1"/>
  <c r="G15" i="1"/>
  <c r="G61" i="1"/>
  <c r="G82" i="1"/>
  <c r="G16" i="1"/>
  <c r="G100" i="1"/>
  <c r="G101" i="1"/>
  <c r="G54" i="1"/>
  <c r="G20" i="1"/>
  <c r="G63" i="1"/>
  <c r="G114" i="1"/>
  <c r="G98" i="1"/>
  <c r="G59" i="1"/>
  <c r="G23" i="1"/>
  <c r="G80" i="1"/>
  <c r="G81" i="1"/>
  <c r="G62" i="1"/>
  <c r="G55" i="1"/>
  <c r="G83" i="1"/>
  <c r="G27" i="1"/>
  <c r="G58" i="1"/>
  <c r="G24" i="1"/>
  <c r="G79" i="1"/>
  <c r="G60" i="1"/>
  <c r="G22" i="1"/>
  <c r="G102" i="1"/>
  <c r="G19" i="1"/>
  <c r="G56" i="1"/>
  <c r="G64" i="1"/>
  <c r="G84" i="1"/>
  <c r="G26" i="1"/>
  <c r="G18" i="1"/>
  <c r="G57" i="1"/>
  <c r="G65" i="1"/>
  <c r="G85" i="1"/>
  <c r="G116" i="1"/>
  <c r="G78" i="1"/>
  <c r="G115" i="1"/>
  <c r="G99" i="1"/>
  <c r="G53" i="1"/>
  <c r="G21" i="1"/>
  <c r="G87" i="1" l="1"/>
  <c r="J89" i="1" s="1"/>
  <c r="G104" i="1"/>
  <c r="J106" i="1" s="1"/>
  <c r="G118" i="1"/>
  <c r="J120" i="1" s="1"/>
  <c r="G67" i="1"/>
  <c r="J69" i="1" s="1"/>
  <c r="I27" i="9"/>
  <c r="I21" i="9"/>
  <c r="G36" i="2"/>
  <c r="T36" i="2" s="1"/>
  <c r="G37" i="2"/>
  <c r="T37" i="2" s="1"/>
  <c r="G38" i="2"/>
  <c r="T38" i="2" s="1"/>
  <c r="G40" i="2"/>
  <c r="T40" i="2" s="1"/>
  <c r="G41" i="2"/>
  <c r="T41" i="2" s="1"/>
  <c r="G35" i="2"/>
  <c r="T35" i="2" s="1"/>
  <c r="K27" i="3"/>
  <c r="T27" i="3" s="1"/>
  <c r="K26" i="3"/>
  <c r="T26" i="3" s="1"/>
  <c r="K25" i="3"/>
  <c r="T25" i="3" s="1"/>
  <c r="F14" i="1"/>
  <c r="E20" i="2"/>
  <c r="E22" i="2" s="1"/>
  <c r="O27" i="9" l="1"/>
  <c r="E24" i="2"/>
  <c r="N30" i="3"/>
  <c r="N40" i="3" s="1"/>
  <c r="N42" i="3" s="1"/>
  <c r="P30" i="5" s="1"/>
  <c r="M30" i="3"/>
  <c r="P30" i="3"/>
  <c r="P40" i="3" s="1"/>
  <c r="P42" i="3" s="1"/>
  <c r="P32" i="5" s="1"/>
  <c r="Q30" i="3"/>
  <c r="Q40" i="3" s="1"/>
  <c r="Q42" i="3" s="1"/>
  <c r="P33" i="5" s="1"/>
  <c r="O30" i="3"/>
  <c r="O40" i="3" s="1"/>
  <c r="O42" i="3" s="1"/>
  <c r="P31" i="5" s="1"/>
  <c r="R30" i="3"/>
  <c r="R40" i="3" s="1"/>
  <c r="R42" i="3" s="1"/>
  <c r="P34" i="5" s="1"/>
  <c r="O48" i="2"/>
  <c r="O50" i="2" s="1"/>
  <c r="N31" i="5" s="1"/>
  <c r="Q48" i="2"/>
  <c r="Q50" i="2" s="1"/>
  <c r="N33" i="5" s="1"/>
  <c r="P48" i="2"/>
  <c r="P50" i="2" s="1"/>
  <c r="N32" i="5" s="1"/>
  <c r="N48" i="2"/>
  <c r="N50" i="2" s="1"/>
  <c r="N30" i="5" s="1"/>
  <c r="M48" i="2"/>
  <c r="M50" i="2" s="1"/>
  <c r="N29" i="5" s="1"/>
  <c r="R48" i="2"/>
  <c r="R50" i="2" s="1"/>
  <c r="N34" i="5" s="1"/>
  <c r="L34" i="5"/>
  <c r="S20" i="2"/>
  <c r="F29" i="1"/>
  <c r="J122" i="1"/>
  <c r="G34" i="5" s="1"/>
  <c r="J71" i="1"/>
  <c r="G31" i="5" s="1"/>
  <c r="J91" i="1"/>
  <c r="G32" i="5" s="1"/>
  <c r="J108" i="1"/>
  <c r="G33" i="5" s="1"/>
  <c r="K30" i="3"/>
  <c r="L32" i="5"/>
  <c r="I30" i="9"/>
  <c r="G48" i="2"/>
  <c r="O28" i="9" s="1"/>
  <c r="K18" i="3"/>
  <c r="G14" i="1"/>
  <c r="M40" i="3" l="1"/>
  <c r="M42" i="3" s="1"/>
  <c r="P29" i="5" s="1"/>
  <c r="L30" i="5"/>
  <c r="L29" i="5"/>
  <c r="L33" i="5"/>
  <c r="S48" i="2"/>
  <c r="G50" i="2"/>
  <c r="L31" i="5"/>
  <c r="G29" i="1"/>
  <c r="J31" i="1" s="1"/>
  <c r="J125" i="1" s="1"/>
  <c r="K40" i="3"/>
  <c r="I32" i="9"/>
  <c r="S40" i="3" l="1"/>
  <c r="O29" i="9"/>
  <c r="O30" i="9" s="1"/>
  <c r="K42" i="3"/>
  <c r="J33" i="1"/>
  <c r="G29" i="5" s="1"/>
  <c r="J36" i="9" l="1"/>
  <c r="K32" i="9" l="1"/>
  <c r="I34" i="9"/>
  <c r="I38" i="9" s="1"/>
  <c r="I50" i="9" l="1"/>
  <c r="I52" i="9" s="1"/>
  <c r="J38" i="9"/>
  <c r="K38" i="9" s="1"/>
  <c r="T31" i="5"/>
  <c r="R34" i="5" l="1"/>
  <c r="T34" i="5" s="1"/>
  <c r="R32" i="5"/>
  <c r="T32" i="5" s="1"/>
  <c r="R29" i="5"/>
  <c r="T29" i="5" s="1"/>
  <c r="R30" i="5"/>
  <c r="T30" i="5" s="1"/>
  <c r="R33" i="5"/>
  <c r="T3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3" authorId="0" shapeId="0" xr:uid="{A8990DD7-B260-4372-825F-93F395809B55}">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68" authorId="0" shapeId="0" xr:uid="{A8A35F23-C862-4B45-A63A-EEF01AEF9F18}">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Rudy Rendon</author>
  </authors>
  <commentList>
    <comment ref="I20" authorId="0" shapeId="0" xr:uid="{88A6FC89-74A6-46C9-A730-5A3DC3577BAC}">
      <text>
        <r>
          <rPr>
            <b/>
            <sz val="9"/>
            <color indexed="81"/>
            <rFont val="Tahoma"/>
            <family val="2"/>
          </rPr>
          <t>Mossner, Christine:</t>
        </r>
        <r>
          <rPr>
            <sz val="9"/>
            <color indexed="81"/>
            <rFont val="Tahoma"/>
            <family val="2"/>
          </rPr>
          <t xml:space="preserve">
Admin Fee Charged 6470</t>
        </r>
      </text>
    </comment>
    <comment ref="I40" authorId="1" shapeId="0" xr:uid="{4AB72F3E-C272-47BB-AF4F-B73B5C91DADF}">
      <text>
        <r>
          <rPr>
            <sz val="9"/>
            <color indexed="81"/>
            <rFont val="Tahoma"/>
            <family val="2"/>
          </rPr>
          <t xml:space="preserve">Rate last reviewed in XXXX
</t>
        </r>
      </text>
    </comment>
  </commentList>
</comments>
</file>

<file path=xl/sharedStrings.xml><?xml version="1.0" encoding="utf-8"?>
<sst xmlns="http://schemas.openxmlformats.org/spreadsheetml/2006/main" count="612" uniqueCount="293">
  <si>
    <t>Annual Salary &amp; Fringe</t>
  </si>
  <si>
    <t>Description</t>
  </si>
  <si>
    <t>DIRECT PERSONNEL COSTS:</t>
  </si>
  <si>
    <t>Employee #1</t>
  </si>
  <si>
    <t>Employee #2</t>
  </si>
  <si>
    <t>Amount</t>
  </si>
  <si>
    <t>Paper</t>
  </si>
  <si>
    <t>Original Cost</t>
  </si>
  <si>
    <t>Estimated Life</t>
  </si>
  <si>
    <t>Annual Cost</t>
  </si>
  <si>
    <t>PAGE 3</t>
  </si>
  <si>
    <t>PAGE 4</t>
  </si>
  <si>
    <t>Employee Name</t>
  </si>
  <si>
    <t>NOTE:  Please list only those employees that will be working on projects/providing services that will be performing the work to be billed for.</t>
  </si>
  <si>
    <t>External</t>
  </si>
  <si>
    <t>per (unit)</t>
  </si>
  <si>
    <t>SERVICE CENTER BILLING RATE APPROVAL REQUEST</t>
  </si>
  <si>
    <t>Department:</t>
  </si>
  <si>
    <t>Contact Person (name &amp; #):</t>
  </si>
  <si>
    <t>INDIRECT PERSONNEL COSTS:</t>
  </si>
  <si>
    <t>XT123456</t>
  </si>
  <si>
    <t>Department of Cost Accounting</t>
  </si>
  <si>
    <t>BILLING RATE DOCUMENTATION SUMMARY</t>
  </si>
  <si>
    <t>Employee #4</t>
  </si>
  <si>
    <t>Employee #5</t>
  </si>
  <si>
    <t>DIRECT MATERIALS</t>
  </si>
  <si>
    <t>Microscope</t>
  </si>
  <si>
    <t>Analysis Software</t>
  </si>
  <si>
    <t>EQUIPMENT OPERATIONAL EXPENSES</t>
  </si>
  <si>
    <t>NOTE:  Please include only those other direct expenses that will be directly attributable to the service.</t>
  </si>
  <si>
    <t>User Groups:</t>
  </si>
  <si>
    <t>EQUIPMENT USE FEE (INDIRECT)</t>
  </si>
  <si>
    <t>Cost Related to This Service</t>
  </si>
  <si>
    <t>Cost per Year Related to this Service</t>
  </si>
  <si>
    <t xml:space="preserve">Telephone Access Charges </t>
  </si>
  <si>
    <t>Total Equipment Operational Costs</t>
  </si>
  <si>
    <t>NOTE:  Costs that support the whole department, but can't be tracked/charged by the specific service (and therefore must be allocated)</t>
  </si>
  <si>
    <t>Equipment (costing &lt; $5,000 each and not included elsewhere)</t>
  </si>
  <si>
    <t>Annual Amount</t>
  </si>
  <si>
    <t>Allocation Method for % Related to this Service:</t>
  </si>
  <si>
    <t>OTHER DIRECT COSTS:</t>
  </si>
  <si>
    <t xml:space="preserve">NOTE: Include only the capitalized equipment (costing &gt; or =  $5,000) used in providing goods/services which are charged to the </t>
  </si>
  <si>
    <t>X</t>
  </si>
  <si>
    <t>Explanation (if higher):</t>
  </si>
  <si>
    <t>PAGE 1</t>
  </si>
  <si>
    <t>INSTRUCTIONS:</t>
  </si>
  <si>
    <t>First Time Request or Update/Renewal of Rates:</t>
  </si>
  <si>
    <t>LOOKBACK ANALYSIS (REQUIRED FOR UPDATED/RENEWED RATES)</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</si>
  <si>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</si>
  <si>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</si>
  <si>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</si>
  <si>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</si>
  <si>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</si>
  <si>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</si>
  <si>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</si>
  <si>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</si>
  <si>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</si>
  <si>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</si>
  <si>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Time Period Used for Lookback</t>
  </si>
  <si>
    <t>Renewal</t>
  </si>
  <si>
    <t>Rate Effective Date:</t>
  </si>
  <si>
    <t xml:space="preserve">http://www.ctlr.msu.edu/copayroll/Fringes.aspx </t>
  </si>
  <si>
    <t>***Fringe %</t>
  </si>
  <si>
    <r>
      <t xml:space="preserve">E-mail completed workbook or questions to </t>
    </r>
    <r>
      <rPr>
        <b/>
        <u/>
        <sz val="10"/>
        <color indexed="12"/>
        <rFont val="Calibri"/>
        <family val="2"/>
      </rPr>
      <t>billing.rates@ctlr.msu.edu</t>
    </r>
  </si>
  <si>
    <t>To calculate the blended hourly rate, individuals with similar roles should be grouped together.  Under this method, employees must track hourly time</t>
  </si>
  <si>
    <t>and bill hourly for their services (even if paid salary instead of hourly).  This tracking can be done in any shadow system at the departmental level.</t>
  </si>
  <si>
    <t>Employee Title or Role</t>
  </si>
  <si>
    <t>Employee #3</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</si>
  <si>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</si>
  <si>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</si>
  <si>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</si>
  <si>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</si>
  <si>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</si>
  <si>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</si>
  <si>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</si>
  <si>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</si>
  <si>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</si>
  <si>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</si>
  <si>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</si>
  <si>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</si>
  <si>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</si>
  <si>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</si>
  <si>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</si>
  <si>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</si>
  <si>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</si>
  <si>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</si>
  <si>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</si>
  <si>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</si>
  <si>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</si>
  <si>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</si>
  <si>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</si>
  <si>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</si>
  <si>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</si>
  <si>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</si>
  <si>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</si>
  <si>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</si>
  <si>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</si>
  <si>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</si>
  <si>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</si>
  <si>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</si>
  <si>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</si>
  <si>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</si>
  <si>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</si>
  <si>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</si>
  <si>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DESIGNER</t>
  </si>
  <si>
    <t>INSPECTOR</t>
  </si>
  <si>
    <t>Billable Hours/Year (this acct only)</t>
  </si>
  <si>
    <t>Cost Related to This Service/acct</t>
  </si>
  <si>
    <t>Actual Annual Pay Per Person *</t>
  </si>
  <si>
    <t>TOTAL BILLABLE HOURS</t>
  </si>
  <si>
    <t>AVERAGE COST PER HOUR (for this Role)</t>
  </si>
  <si>
    <t>CUSTOMER CONSULTANT</t>
  </si>
  <si>
    <t>NOTE:  These employees provide support services, but will not bill for and track their time.   Their primary role is to support/supervise the direct personnel above</t>
  </si>
  <si>
    <t>or support the entire unit's activity.</t>
  </si>
  <si>
    <t>Employee #42</t>
  </si>
  <si>
    <t>Employee #43</t>
  </si>
  <si>
    <t>Employee #44</t>
  </si>
  <si>
    <t>Employee #45</t>
  </si>
  <si>
    <t>ASSISTANT OR STUDENT TECH</t>
  </si>
  <si>
    <t>CONSTRUCTION WORKER</t>
  </si>
  <si>
    <t>MARKETING AGENT</t>
  </si>
  <si>
    <t>ROLE:</t>
  </si>
  <si>
    <t>SITE MANAGER</t>
  </si>
  <si>
    <t>DIRECTOR</t>
  </si>
  <si>
    <t>ASST . DIRECTOR</t>
  </si>
  <si>
    <t>Employee #46</t>
  </si>
  <si>
    <t>Employee #47</t>
  </si>
  <si>
    <t>Employee #48</t>
  </si>
  <si>
    <t>Employee #49</t>
  </si>
  <si>
    <t>Employee #50</t>
  </si>
  <si>
    <t>Employee #51</t>
  </si>
  <si>
    <t>Employee #52</t>
  </si>
  <si>
    <t>Employee #53</t>
  </si>
  <si>
    <t>Employee #54</t>
  </si>
  <si>
    <t>STUDENT (GENERAL ASST.)</t>
  </si>
  <si>
    <t>CLERICAL</t>
  </si>
  <si>
    <t>ADMINISTRATIVE</t>
  </si>
  <si>
    <t>TECH/COMPUTER SUPPORT</t>
  </si>
  <si>
    <t>TOTAL FOR THIS ROLE</t>
  </si>
  <si>
    <t>TOTAL INDIRECT PERSONNEL COSTS</t>
  </si>
  <si>
    <r>
      <t>TOTAL BILLABLE HOURS FOR</t>
    </r>
    <r>
      <rPr>
        <b/>
        <u/>
        <sz val="10"/>
        <rFont val="Arial"/>
        <family val="2"/>
      </rPr>
      <t xml:space="preserve"> ALL</t>
    </r>
    <r>
      <rPr>
        <b/>
        <sz val="10"/>
        <rFont val="Arial"/>
        <family val="2"/>
      </rPr>
      <t xml:space="preserve"> ROLES</t>
    </r>
  </si>
  <si>
    <t>TOTAL DIRECT PERSONNEL COST FOR THIS ROLE</t>
  </si>
  <si>
    <t>TOTAL BILLABLE HOURS (SEE DIRECT ABOVE)</t>
  </si>
  <si>
    <t>INDIRECT PERSONNEL HOURLY COST</t>
  </si>
  <si>
    <t>SUMMARY OF ROLES/SERVICES</t>
  </si>
  <si>
    <t>Direct materials used in the provision of services will be billed at cost.  No mark up</t>
  </si>
  <si>
    <t>will be made on materials since indirect costs are included in the labor/personnel rates.</t>
  </si>
  <si>
    <t>TOTAL DIRECT MATERIALS</t>
  </si>
  <si>
    <t>Drafting Equipment</t>
  </si>
  <si>
    <t xml:space="preserve">Printers </t>
  </si>
  <si>
    <t>Office printer/scanner (for whole dept)</t>
  </si>
  <si>
    <t>CAD software</t>
  </si>
  <si>
    <t>EQUIPMENT USE</t>
  </si>
  <si>
    <t>EQUIPMENT USE (PAGE/TAB 4)</t>
  </si>
  <si>
    <t>Network Storage Contracts</t>
  </si>
  <si>
    <t>Other Administrative and Office Wide Support Costs</t>
  </si>
  <si>
    <t>$0.55/mile</t>
  </si>
  <si>
    <t>*Approved IRS/MSU rate. Billed per mile. (to Tab/Page 1)</t>
  </si>
  <si>
    <t>Other</t>
  </si>
  <si>
    <t>at cost</t>
  </si>
  <si>
    <t>*Other direct costs will be billed at cost, without markup (ex: shipping to client) (to Tab/Page 1)</t>
  </si>
  <si>
    <t>(Note, if direct costs are to be allocated by billable hours, use this calc)</t>
  </si>
  <si>
    <t>* Approx. Actual legal expense will be passed to client at cost (to Tab/Page 1)</t>
  </si>
  <si>
    <t>TOTAL OTHER DIRECT COSTS</t>
  </si>
  <si>
    <t>Office Wide Shipping Costs (net of direct costs billed to client)</t>
  </si>
  <si>
    <t>See below</t>
  </si>
  <si>
    <t>TOTAL HOURLY RATE</t>
  </si>
  <si>
    <t xml:space="preserve">*** Fringe rates can be found at </t>
  </si>
  <si>
    <t>or use the actual fringe costs shown on ledgers.</t>
  </si>
  <si>
    <t>DIRECT AND INDIRECT PERSONNEL COSTS</t>
  </si>
  <si>
    <t>These costs must be paid on the revolving account (not general fund or federal grant accounts).</t>
  </si>
  <si>
    <t>THIS ANALYSIS SHOULD AGREE TO THE OPERATING STATEMENTS/FUND LEDGERS FOR THE GIVEN PERIOD.</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</si>
  <si>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</si>
  <si>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</si>
  <si>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</si>
  <si>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Annual Pay Per Person *</t>
  </si>
  <si>
    <t>* Annual pay may be an estimate for the upcoming year or the actual pay for the prior year.</t>
  </si>
  <si>
    <t>% Effort on This Service/Acct**</t>
  </si>
  <si>
    <t>**  Effort is the percentage of time expected to be spent providing this service or in support of this service.  Remember that these costs need to be recorded on the revolving account for this service.</t>
  </si>
  <si>
    <t>Cost Related to This Service/Acct</t>
  </si>
  <si>
    <t>Rates:</t>
  </si>
  <si>
    <t>PAY TO THE REVOLVING ACCOUNT.  FOR HOURLY EMPLOYEES, SELECT THE REVOLVING ACCOUNT FOR HOURS SPENT ON THIS SERVICE WHEN PROCESSING PAYROLL.</t>
  </si>
  <si>
    <t>ALL INFORMATION BELOW SHOULD TIE DIRECTLY TO OPERATING STATEMENTS FOR THE PERIOD USED.</t>
  </si>
  <si>
    <t>or contact Financial Analysis at 355-5029 with questions.</t>
  </si>
  <si>
    <t>Departmental Contact (XXX) XXX-XXXX</t>
  </si>
  <si>
    <t>Asset Tag #</t>
  </si>
  <si>
    <t>Purchaser Account #</t>
  </si>
  <si>
    <t>XXXXXXX</t>
  </si>
  <si>
    <t>KFS Object &amp; Description</t>
  </si>
  <si>
    <t>6235 - Maintenance contracts on Above Equip (per year)</t>
  </si>
  <si>
    <t>6428 - Ink Cartridges (for testing printer)</t>
  </si>
  <si>
    <t>6428 - Toner for Office printer/scanner</t>
  </si>
  <si>
    <t>6612 - Travel - In State University Employee</t>
  </si>
  <si>
    <t>6269 - Legal Expense</t>
  </si>
  <si>
    <t>% of Annual Operating Expenses</t>
  </si>
  <si>
    <t>PERIOD BETWEEN REQUIRED BIENNIAL RATE REVIEWS</t>
  </si>
  <si>
    <t>TOTAL BILLABLE HOURS IN TIME BETWEEN RATE RENEWALS</t>
  </si>
  <si>
    <t>Departmental Notes/Documentation</t>
  </si>
  <si>
    <t>Example notes include decision on exclusion of deficit from billing rate, decision to factor 100% or 90% of surplus into billing rate, determination of anticipated capital needs, etc.</t>
  </si>
  <si>
    <t>REVENUE - Prior Period (most recent fiscal year - up to 2 fiscal years if have know anomalies)</t>
  </si>
  <si>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</si>
  <si>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</si>
  <si>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t>EXPENSES OR COSTS - Prior Period (most recent fiscal year - up to 2 fiscal years if have know anomalies)</t>
  </si>
  <si>
    <r>
      <t>All formula fields throughout this workbook are in</t>
    </r>
    <r>
      <rPr>
        <sz val="14"/>
        <color rgb="FF0070C0"/>
        <rFont val="Calibri"/>
        <family val="2"/>
        <scheme val="minor"/>
      </rPr>
      <t xml:space="preserve"> BLUE FONT.  </t>
    </r>
  </si>
  <si>
    <t>Total Expenses Incurred for Performing this Service in Prior Year</t>
  </si>
  <si>
    <t>ENDING FUND BALANCE AS OF PRIOR FISCAL YEAR
(KFS Beginning Balance  Line Amount for 3*** object code for Lookback Period)</t>
  </si>
  <si>
    <t>All items highlighted light orange are manually entered by the department.</t>
  </si>
  <si>
    <t>GEN</t>
  </si>
  <si>
    <t>Description of Service:</t>
  </si>
  <si>
    <t>Title of Service:</t>
  </si>
  <si>
    <t>Total</t>
  </si>
  <si>
    <t>DIRECT PERSONNEL COSTS: Level of Effort and Billable Hours Determination Documentation</t>
  </si>
  <si>
    <r>
      <rPr>
        <b/>
        <u/>
        <sz val="8"/>
        <rFont val="Arial"/>
        <family val="2"/>
      </rPr>
      <t>LOE Example Language:</t>
    </r>
    <r>
      <rPr>
        <sz val="8"/>
        <rFont val="Arial"/>
        <family val="2"/>
      </rPr>
      <t xml:space="preserve"> LOE determined based on manager input and historical data ; LOE obtained from CGA's reporting site ; etc.</t>
    </r>
  </si>
  <si>
    <t>INDIRECT PERSONNEL COSTS: Level of Effort and Billable Hours Determination Documentation</t>
  </si>
  <si>
    <t>Template: Service Hourly Rates</t>
  </si>
  <si>
    <t>Submission Date:</t>
  </si>
  <si>
    <t>Approval Letter Date:</t>
  </si>
  <si>
    <r>
      <rPr>
        <b/>
        <u/>
        <sz val="8"/>
        <rFont val="Calibri"/>
        <family val="2"/>
        <scheme val="minor"/>
      </rPr>
      <t xml:space="preserve">Example Language: </t>
    </r>
    <r>
      <rPr>
        <sz val="8"/>
        <rFont val="Calibri"/>
        <family val="2"/>
        <scheme val="minor"/>
      </rPr>
      <t>Prevailing Market Price (could also be to fund other dept. activities or build reserves; make sure it at least covers the automatic charge for external users [26%  for DY; 2% for DS &amp; XT])</t>
    </r>
  </si>
  <si>
    <t>In Service Date</t>
  </si>
  <si>
    <t>Used Life</t>
  </si>
  <si>
    <t>Remaining Life</t>
  </si>
  <si>
    <t>EQUIPMENT DEPRECIATION COST ANALYSIS</t>
  </si>
  <si>
    <r>
      <t xml:space="preserve">Federal grants and that were </t>
    </r>
    <r>
      <rPr>
        <b/>
        <u/>
        <sz val="8"/>
        <rFont val="Arial"/>
        <family val="2"/>
      </rPr>
      <t>originally purchased with non-Federal and non-General Fund monies.</t>
    </r>
  </si>
  <si>
    <t>Total Equipment Depreciation Cost</t>
  </si>
  <si>
    <t>CUMULATIVE LOOKBACK REDUCTION (RECOVERY)</t>
  </si>
  <si>
    <r>
      <rPr>
        <b/>
        <sz val="10"/>
        <rFont val="Calibri"/>
        <family val="2"/>
        <scheme val="minor"/>
      </rPr>
      <t>The department can figure in anticipated capital needs</t>
    </r>
    <r>
      <rPr>
        <sz val="10"/>
        <rFont val="Calibri"/>
        <family val="2"/>
        <scheme val="minor"/>
      </rPr>
      <t xml:space="preserve"> within the next two years when considering inclusion of the cumulative surplus/deficit impact into the billing rates.</t>
    </r>
  </si>
  <si>
    <t>% Related to this Service</t>
  </si>
  <si>
    <t>Office Supplies (paper clips, staples, etc.)</t>
  </si>
  <si>
    <r>
      <rPr>
        <b/>
        <u/>
        <sz val="8"/>
        <rFont val="Arial"/>
        <family val="2"/>
      </rPr>
      <t>Example Language:</t>
    </r>
    <r>
      <rPr>
        <sz val="8"/>
        <rFont val="Arial"/>
        <family val="2"/>
      </rPr>
      <t xml:space="preserve"> Analyzed total revenue for this Service Center of $1,000,000 per year.  Revenue from providing this specific testing has historically been about $250,000/year, so 25% used as allocated to this service. (Could also use study of % effort from all personnel or other reasonable method.</t>
    </r>
  </si>
  <si>
    <t>approx. $3500/app</t>
  </si>
  <si>
    <r>
      <rPr>
        <b/>
        <u/>
        <sz val="8"/>
        <rFont val="Arial"/>
        <family val="2"/>
      </rPr>
      <t>Example Language:</t>
    </r>
    <r>
      <rPr>
        <sz val="8"/>
        <rFont val="Arial"/>
        <family val="2"/>
      </rPr>
      <t xml:space="preserve"> Based on estimated time each machine is used for this service compared to total time.  Differs for each machine, and the operational costs are the same as the machine when specifically identifiable.</t>
    </r>
  </si>
  <si>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</si>
  <si>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t>Complete the supporting tabs to compile costs of providing this service.  Summarize the totals from other tabs in the  summary below, and fill in the desired rates for each user group.  Text in green needs to be updated (or added to).  Add to this template as needed. ALL COSTS INCLUDED IN THIS ANALYSIS SHOULD BE EXPENSES ON THE REVOLVING ACCOUNT SHOWN ABOVE.</t>
  </si>
  <si>
    <t>Hourly Professional Services/Design Services/or Other Services (billed based on labor hours)</t>
  </si>
  <si>
    <t>Description of the service provided</t>
  </si>
  <si>
    <t>Total % Effort on This Service/Acct**</t>
  </si>
  <si>
    <t>Max % Allowed</t>
  </si>
  <si>
    <t>&gt; Max?</t>
  </si>
  <si>
    <t>Note</t>
  </si>
  <si>
    <t>Annual Billable Hours/Year</t>
  </si>
  <si>
    <t>USED BY ROLE/SERVICE?</t>
  </si>
  <si>
    <t>Yes</t>
  </si>
  <si>
    <t>Total Users</t>
  </si>
  <si>
    <t>No</t>
  </si>
  <si>
    <t>Cost per User</t>
  </si>
  <si>
    <t>ROLE/SERVICE EXISTED SINCE LAST RATE REVIEW?</t>
  </si>
  <si>
    <t>TOTAL APPLICABLE BILLABLE HOURS IN TIME BETWEEN RATE RENEWALS</t>
  </si>
  <si>
    <t>All items highlighted light blue are manually entered by FA.</t>
  </si>
  <si>
    <t>Internal</t>
  </si>
  <si>
    <t>Federal Grant</t>
  </si>
  <si>
    <t>See below +26%</t>
  </si>
  <si>
    <t>Hour</t>
  </si>
  <si>
    <t>FOR FA USE ONLY: LEVEL OF EFFORT CHECK</t>
  </si>
  <si>
    <t>PER HOUR (to Page/Tab 1)</t>
  </si>
  <si>
    <t>Costs charged to the revolving account that are specifically identifiable with relative ease and high degree of accuracy.  The expenses must be recorded on the revolving account and not a general fund or federal grant account.</t>
  </si>
  <si>
    <t>INDIRECT COSTS:</t>
  </si>
  <si>
    <t>TOTAL BILLABLE HOURS (from Page/Tab 2)</t>
  </si>
  <si>
    <t xml:space="preserve"> PER BILLABLE HOUR (to Page/Tab 1)</t>
  </si>
  <si>
    <t>TOTAL INDIRECT COSTS</t>
  </si>
  <si>
    <t>INDIRECT LABOR
PER HOUR
(PAGE/TAB 2)</t>
  </si>
  <si>
    <t>DIRECT LABOR
PER HOUR
(PAGE/TAB 2)</t>
  </si>
  <si>
    <t>SEE TAB 3, and notes A &amp; B below</t>
  </si>
  <si>
    <t>DIRECT COSTS (PAGE/TAB 3)</t>
  </si>
  <si>
    <t>INDIRECT COSTS (PAGE/TAB 3)</t>
  </si>
  <si>
    <t>LOOKBACK ADJUSTMENT (PAGE/TAB 5)</t>
  </si>
  <si>
    <t>Note A: Direct Materials, where applicable, will be billed to customers/clients at the cost for which they were purchased.  No markup since overhead costs are included in labor rates.</t>
  </si>
  <si>
    <t>Note B: Other Direct Costs such as shipping to a particular client or travel to/from a client will be billed at cost or as described on Tab 3 (mileage).</t>
  </si>
  <si>
    <t>TOTAL DIRECT COSTS</t>
  </si>
  <si>
    <t>TOTAL DIRECT COSTS PER BILLABLE HR (to Page/Tab 1)</t>
  </si>
  <si>
    <t>TOTAL INDIRECT COSTS PER BILLABLE HR (to Page/Tab 1)</t>
  </si>
  <si>
    <t>Page 5</t>
  </si>
  <si>
    <t>If update/renewal, complete lookback analysis on Page/Tab 5</t>
  </si>
  <si>
    <t>Annual Operating Expenses</t>
  </si>
  <si>
    <t>Direct Personnel</t>
  </si>
  <si>
    <t>Indirect Personnel</t>
  </si>
  <si>
    <t>Direct Costs</t>
  </si>
  <si>
    <t>Indirect Costs</t>
  </si>
  <si>
    <t>Equipment Use Fee</t>
  </si>
  <si>
    <t>to Page/Tab 5</t>
  </si>
  <si>
    <r>
      <t>TOTAL DIRECT PERSONNEL COST FOR</t>
    </r>
    <r>
      <rPr>
        <b/>
        <u/>
        <sz val="10"/>
        <rFont val="Arial"/>
        <family val="2"/>
      </rPr>
      <t xml:space="preserve"> ALL</t>
    </r>
    <r>
      <rPr>
        <b/>
        <sz val="10"/>
        <rFont val="Arial"/>
        <family val="2"/>
      </rPr>
      <t xml:space="preserve"> ROLES</t>
    </r>
  </si>
  <si>
    <t>TOTAL ANNUAL EQUIPMENT COSTS (to Page/Tab 5)</t>
  </si>
  <si>
    <t>LESS ALLOWABLE CUMULATIVE SURPLUS NOT EXCEEDING 10% OF ANNUAL OPERATING EXPENSES</t>
  </si>
  <si>
    <t>ADJUSTED CUMULATIVE SURPLUS (DEFICIT) FOR RATE ALLOCATION</t>
  </si>
  <si>
    <t>UNADJUSTED CUMULATIVE SURPLUS (DEFICIT) FOR THE SERVICE</t>
  </si>
  <si>
    <t>ANTICIPATED CAPITAL NEEDS WITHIN THE NEXT TWO YEARS</t>
  </si>
  <si>
    <t>ADJUSTED CUMULATIVE SURPLUS (DEFICIT) USED FOR RATE ALLOCATION</t>
  </si>
  <si>
    <t>LOOKBACK PERCENTAGE USED FOR RATE ALLOCATION</t>
  </si>
  <si>
    <t>CUMULATIVE LOOKBACK REDUCTION (RECOVERY) USED FOR RATE</t>
  </si>
  <si>
    <t>Account #:</t>
  </si>
  <si>
    <t>Sub Account #:</t>
  </si>
  <si>
    <t>[1]</t>
  </si>
  <si>
    <t>[2]</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</si>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</sst>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_(* #,##0_);_(* \(#,##0\);_(* &quot;-&quot;??_);_(@_)"/>
  </numFmts>
  <fonts count="47" x14ac:knownFonts="1">
    <font>
      <sz val="8"/>
      <name val="Arial"/>
    </font>
    <font>
      <sz val="8"/>
      <name val="Arial"/>
      <family val="2"/>
    </font>
    <font>
      <b/>
      <sz val="8"/>
      <name val="Arial"/>
      <family val="2"/>
    </font>
    <font>
      <b/>
      <sz val="10"/>
      <name val="Arial"/>
      <family val="2"/>
    </font>
    <font>
      <sz val="8"/>
      <name val="Arial"/>
      <family val="2"/>
    </font>
    <font>
      <sz val="8"/>
      <color indexed="20"/>
      <name val="Arial"/>
      <family val="2"/>
    </font>
    <font>
      <b/>
      <sz val="9"/>
      <color indexed="10"/>
      <name val="Arial"/>
      <family val="2"/>
    </font>
    <font>
      <sz val="9"/>
      <name val="Arial"/>
      <family val="2"/>
    </font>
    <font>
      <i/>
      <sz val="8"/>
      <name val="Arial"/>
      <family val="2"/>
    </font>
    <font>
      <sz val="10"/>
      <name val="Calibri"/>
      <family val="2"/>
    </font>
    <font>
      <b/>
      <sz val="10"/>
      <name val="Calibri"/>
      <family val="2"/>
    </font>
    <font>
      <b/>
      <u/>
      <sz val="10"/>
      <color indexed="12"/>
      <name val="Calibri"/>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b/>
      <sz val="12"/>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sz val="8"/>
      <color rgb="FF00B050"/>
      <name val="Calibri"/>
      <family val="2"/>
      <scheme val="minor"/>
    </font>
    <font>
      <b/>
      <sz val="11"/>
      <name val="Calibri"/>
      <family val="2"/>
      <scheme val="minor"/>
    </font>
    <font>
      <sz val="10"/>
      <color rgb="FFFF0000"/>
      <name val="Calibri"/>
      <family val="2"/>
      <scheme val="minor"/>
    </font>
    <font>
      <u/>
      <sz val="8"/>
      <color theme="10"/>
      <name val="Arial"/>
      <family val="2"/>
    </font>
    <font>
      <sz val="8"/>
      <name val="Tahoma"/>
      <family val="2"/>
    </font>
    <font>
      <b/>
      <sz val="8"/>
      <name val="Tahoma"/>
      <family val="2"/>
    </font>
    <font>
      <b/>
      <u/>
      <sz val="10"/>
      <name val="Arial"/>
      <family val="2"/>
    </font>
    <font>
      <sz val="8"/>
      <color rgb="FFFF0000"/>
      <name val="Arial"/>
      <family val="2"/>
    </font>
    <font>
      <b/>
      <sz val="8"/>
      <color rgb="FF0070C0"/>
      <name val="Calibri"/>
      <family val="2"/>
      <scheme val="minor"/>
    </font>
    <font>
      <sz val="8"/>
      <color rgb="FF0070C0"/>
      <name val="Calibri"/>
      <family val="2"/>
      <scheme val="minor"/>
    </font>
    <font>
      <sz val="10"/>
      <color rgb="FF0070C0"/>
      <name val="Calibri"/>
      <family val="2"/>
      <scheme val="minor"/>
    </font>
    <font>
      <sz val="8"/>
      <color rgb="FF0070C0"/>
      <name val="Arial"/>
      <family val="2"/>
    </font>
    <font>
      <sz val="8"/>
      <color rgb="FF0070C0"/>
      <name val="Tahoma"/>
      <family val="2"/>
    </font>
    <font>
      <b/>
      <sz val="8"/>
      <color rgb="FF0070C0"/>
      <name val="Tahoma"/>
      <family val="2"/>
    </font>
    <font>
      <b/>
      <sz val="8"/>
      <color rgb="FF0070C0"/>
      <name val="Arial"/>
      <family val="2"/>
    </font>
    <font>
      <b/>
      <sz val="10"/>
      <color rgb="FF0070C0"/>
      <name val="Arial"/>
      <family val="2"/>
    </font>
    <font>
      <b/>
      <sz val="10"/>
      <color rgb="FF0070C0"/>
      <name val="Calibri"/>
      <family val="2"/>
      <scheme val="minor"/>
    </font>
    <font>
      <sz val="14"/>
      <name val="Calibri"/>
      <family val="2"/>
      <scheme val="minor"/>
    </font>
    <font>
      <sz val="14"/>
      <color rgb="FF0070C0"/>
      <name val="Calibri"/>
      <family val="2"/>
      <scheme val="minor"/>
    </font>
    <font>
      <b/>
      <sz val="9"/>
      <color indexed="81"/>
      <name val="Tahoma"/>
      <family val="2"/>
    </font>
    <font>
      <sz val="9"/>
      <color indexed="81"/>
      <name val="Tahoma"/>
      <family val="2"/>
    </font>
    <font>
      <b/>
      <u/>
      <sz val="8"/>
      <name val="Arial"/>
      <family val="2"/>
    </font>
    <font>
      <b/>
      <u/>
      <sz val="8"/>
      <name val="Calibri"/>
      <family val="2"/>
      <scheme val="minor"/>
    </font>
    <font>
      <sz val="10"/>
      <color rgb="FF0070C0"/>
      <name val="Arial"/>
      <family val="2"/>
    </font>
    <font>
      <b/>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19">
    <xf numFmtId="0" fontId="0" fillId="0" borderId="0" xfId="0"/>
    <xf numFmtId="0" fontId="2"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0" fontId="0" fillId="0" borderId="0" xfId="4" applyNumberFormat="1" applyFont="1" applyAlignment="1">
      <alignment horizontal="center"/>
    </xf>
    <xf numFmtId="0" fontId="3"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0" fontId="4" fillId="0" borderId="0" xfId="0" applyFont="1"/>
    <xf numFmtId="49" fontId="4" fillId="0" borderId="0" xfId="0" applyNumberFormat="1" applyFont="1" applyAlignment="1">
      <alignment horizontal="center"/>
    </xf>
    <xf numFmtId="164" fontId="4" fillId="0" borderId="0" xfId="0" applyNumberFormat="1" applyFont="1"/>
    <xf numFmtId="0" fontId="4"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0" fontId="5" fillId="0" borderId="0" xfId="0" applyFont="1"/>
    <xf numFmtId="44" fontId="0" fillId="0" borderId="0" xfId="2" applyFont="1"/>
    <xf numFmtId="0" fontId="6" fillId="0" borderId="0" xfId="0" applyFont="1"/>
    <xf numFmtId="0" fontId="7" fillId="0" borderId="0" xfId="0" applyFont="1"/>
    <xf numFmtId="0" fontId="2" fillId="0" borderId="0" xfId="0" applyFont="1"/>
    <xf numFmtId="165" fontId="0" fillId="0" borderId="0" xfId="0" applyNumberFormat="1"/>
    <xf numFmtId="10" fontId="0" fillId="0" borderId="0" xfId="4" applyNumberFormat="1" applyFont="1" applyBorder="1" applyAlignment="1">
      <alignment horizontal="right"/>
    </xf>
    <xf numFmtId="10" fontId="2" fillId="0" borderId="0" xfId="4" applyNumberFormat="1" applyFont="1" applyBorder="1" applyAlignment="1">
      <alignment horizontal="right"/>
    </xf>
    <xf numFmtId="10" fontId="4" fillId="0" borderId="0" xfId="4" applyNumberFormat="1" applyFont="1" applyBorder="1" applyAlignment="1">
      <alignment horizontal="right"/>
    </xf>
    <xf numFmtId="0" fontId="0" fillId="0" borderId="1" xfId="0" applyBorder="1"/>
    <xf numFmtId="165" fontId="2" fillId="0" borderId="0" xfId="0" applyNumberFormat="1" applyFont="1"/>
    <xf numFmtId="41" fontId="0" fillId="0" borderId="0" xfId="0" applyNumberFormat="1"/>
    <xf numFmtId="41" fontId="2" fillId="0" borderId="0" xfId="0" applyNumberFormat="1" applyFont="1" applyAlignment="1">
      <alignment horizontal="center"/>
    </xf>
    <xf numFmtId="41" fontId="0" fillId="0" borderId="1" xfId="0" applyNumberFormat="1" applyBorder="1"/>
    <xf numFmtId="0" fontId="2" fillId="0" borderId="0" xfId="0" applyFont="1" applyAlignment="1">
      <alignment horizontal="center" wrapText="1"/>
    </xf>
    <xf numFmtId="42" fontId="0" fillId="0" borderId="0" xfId="0" applyNumberFormat="1"/>
    <xf numFmtId="41" fontId="2" fillId="0" borderId="0" xfId="0" applyNumberFormat="1" applyFont="1"/>
    <xf numFmtId="0" fontId="12" fillId="0" borderId="0" xfId="0" applyFont="1"/>
    <xf numFmtId="0" fontId="12" fillId="0" borderId="1" xfId="0" applyFont="1" applyBorder="1"/>
    <xf numFmtId="0" fontId="13" fillId="0" borderId="0" xfId="0" applyFont="1"/>
    <xf numFmtId="0" fontId="12" fillId="0" borderId="0" xfId="0" applyFont="1" applyAlignment="1">
      <alignment horizontal="left"/>
    </xf>
    <xf numFmtId="0" fontId="8" fillId="0" borderId="0" xfId="0" applyFont="1"/>
    <xf numFmtId="0" fontId="14" fillId="0" borderId="0" xfId="0" applyFont="1"/>
    <xf numFmtId="0" fontId="15" fillId="0" borderId="0" xfId="0" applyFont="1"/>
    <xf numFmtId="41" fontId="0" fillId="0" borderId="3" xfId="0" applyNumberFormat="1" applyBorder="1"/>
    <xf numFmtId="0" fontId="0" fillId="4" borderId="0" xfId="0" applyFill="1"/>
    <xf numFmtId="0" fontId="2" fillId="0" borderId="2" xfId="0" applyFont="1" applyBorder="1" applyAlignment="1">
      <alignment wrapText="1"/>
    </xf>
    <xf numFmtId="44" fontId="14" fillId="0" borderId="0" xfId="2" applyFont="1" applyBorder="1"/>
    <xf numFmtId="166" fontId="0" fillId="0" borderId="0" xfId="2" applyNumberFormat="1" applyFont="1"/>
    <xf numFmtId="165" fontId="14" fillId="0" borderId="0" xfId="0" applyNumberFormat="1" applyFont="1"/>
    <xf numFmtId="0" fontId="3" fillId="4" borderId="0" xfId="0" applyFont="1" applyFill="1"/>
    <xf numFmtId="0" fontId="14" fillId="0" borderId="0" xfId="0" applyFont="1" applyAlignment="1">
      <alignment horizontal="left" vertical="center" wrapText="1"/>
    </xf>
    <xf numFmtId="0" fontId="2" fillId="0" borderId="5" xfId="0" applyFont="1" applyBorder="1" applyAlignment="1">
      <alignment horizontal="left"/>
    </xf>
    <xf numFmtId="49" fontId="2" fillId="0" borderId="5" xfId="0" applyNumberFormat="1"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5" xfId="0" applyFont="1" applyBorder="1" applyAlignment="1">
      <alignment wrapText="1"/>
    </xf>
    <xf numFmtId="0" fontId="0" fillId="0" borderId="3" xfId="0" applyBorder="1"/>
    <xf numFmtId="41" fontId="2" fillId="0" borderId="5" xfId="0" applyNumberFormat="1" applyFont="1" applyBorder="1" applyAlignment="1">
      <alignment horizontal="center" wrapText="1"/>
    </xf>
    <xf numFmtId="0" fontId="12" fillId="0" borderId="0" xfId="0" applyFont="1" applyAlignment="1">
      <alignment horizontal="right"/>
    </xf>
    <xf numFmtId="0" fontId="17" fillId="0" borderId="0" xfId="0" applyFont="1"/>
    <xf numFmtId="41" fontId="17" fillId="0" borderId="0" xfId="0" applyNumberFormat="1" applyFont="1"/>
    <xf numFmtId="0" fontId="18" fillId="0" borderId="1" xfId="0" applyFont="1" applyBorder="1"/>
    <xf numFmtId="41" fontId="18" fillId="0" borderId="0" xfId="0" applyNumberFormat="1" applyFont="1" applyAlignment="1">
      <alignment horizontal="center"/>
    </xf>
    <xf numFmtId="41" fontId="18" fillId="0" borderId="1" xfId="0" applyNumberFormat="1" applyFont="1" applyBorder="1" applyAlignment="1">
      <alignment horizontal="center" wrapText="1"/>
    </xf>
    <xf numFmtId="0" fontId="16" fillId="0" borderId="1" xfId="0" applyFont="1" applyBorder="1"/>
    <xf numFmtId="0" fontId="19" fillId="0" borderId="0" xfId="0" applyFont="1"/>
    <xf numFmtId="0" fontId="19" fillId="0" borderId="8" xfId="0" applyFont="1" applyBorder="1"/>
    <xf numFmtId="0" fontId="20" fillId="0" borderId="9" xfId="0" applyFont="1" applyBorder="1"/>
    <xf numFmtId="0" fontId="3" fillId="0" borderId="0" xfId="0" applyFont="1"/>
    <xf numFmtId="0" fontId="13" fillId="0" borderId="1" xfId="0" applyFont="1" applyBorder="1"/>
    <xf numFmtId="0" fontId="21" fillId="0" borderId="1" xfId="0" applyFont="1" applyBorder="1"/>
    <xf numFmtId="0" fontId="21" fillId="0" borderId="0" xfId="0" applyFont="1"/>
    <xf numFmtId="0" fontId="15" fillId="0" borderId="0" xfId="0" applyFont="1" applyAlignment="1">
      <alignment horizontal="left"/>
    </xf>
    <xf numFmtId="0" fontId="19" fillId="0" borderId="0" xfId="0" applyFont="1" applyAlignment="1">
      <alignment horizontal="left"/>
    </xf>
    <xf numFmtId="0" fontId="13" fillId="2" borderId="0" xfId="0" applyFont="1" applyFill="1"/>
    <xf numFmtId="44" fontId="17" fillId="0" borderId="0" xfId="2" applyFont="1"/>
    <xf numFmtId="0" fontId="13" fillId="0" borderId="0" xfId="0" applyFont="1" applyAlignment="1">
      <alignment horizontal="left" vertical="top" wrapText="1"/>
    </xf>
    <xf numFmtId="0" fontId="13" fillId="0" borderId="0" xfId="0" applyFont="1" applyAlignment="1">
      <alignment horizontal="left" vertical="top"/>
    </xf>
    <xf numFmtId="0" fontId="25" fillId="0" borderId="0" xfId="3" applyAlignment="1" applyProtection="1"/>
    <xf numFmtId="49" fontId="25" fillId="0" borderId="0" xfId="3" applyNumberFormat="1" applyAlignment="1" applyProtection="1">
      <alignment horizontal="center"/>
    </xf>
    <xf numFmtId="164" fontId="25" fillId="0" borderId="0" xfId="3" applyNumberFormat="1" applyAlignment="1" applyProtection="1"/>
    <xf numFmtId="165" fontId="4" fillId="0" borderId="0" xfId="4" applyNumberFormat="1" applyFont="1" applyBorder="1" applyAlignment="1">
      <alignment horizontal="right"/>
    </xf>
    <xf numFmtId="0" fontId="27" fillId="0" borderId="0" xfId="0" applyFont="1"/>
    <xf numFmtId="44" fontId="27" fillId="0" borderId="0" xfId="2" applyFont="1" applyFill="1" applyBorder="1" applyAlignment="1" applyProtection="1"/>
    <xf numFmtId="0" fontId="26" fillId="0" borderId="0" xfId="0" applyFont="1"/>
    <xf numFmtId="40" fontId="26" fillId="0" borderId="0" xfId="0" applyNumberFormat="1" applyFont="1"/>
    <xf numFmtId="164" fontId="27" fillId="0" borderId="0" xfId="2" applyNumberFormat="1" applyFont="1" applyFill="1" applyBorder="1" applyAlignment="1" applyProtection="1"/>
    <xf numFmtId="164" fontId="26" fillId="0" borderId="0" xfId="2" applyNumberFormat="1" applyFont="1" applyFill="1" applyBorder="1" applyAlignment="1" applyProtection="1"/>
    <xf numFmtId="44" fontId="0" fillId="0" borderId="0" xfId="2" applyFont="1" applyBorder="1"/>
    <xf numFmtId="164" fontId="0" fillId="4" borderId="0" xfId="0" applyNumberFormat="1" applyFill="1"/>
    <xf numFmtId="43" fontId="0" fillId="0" borderId="0" xfId="1" applyFont="1" applyFill="1"/>
    <xf numFmtId="164" fontId="27" fillId="0" borderId="0" xfId="2" applyNumberFormat="1" applyFont="1" applyFill="1" applyBorder="1" applyAlignment="1" applyProtection="1">
      <alignment horizontal="right"/>
    </xf>
    <xf numFmtId="167" fontId="27" fillId="0" borderId="0" xfId="1" applyNumberFormat="1" applyFont="1" applyFill="1" applyBorder="1" applyAlignment="1" applyProtection="1">
      <alignment horizontal="right"/>
    </xf>
    <xf numFmtId="44" fontId="0" fillId="0" borderId="0" xfId="2" applyFont="1" applyFill="1" applyBorder="1"/>
    <xf numFmtId="41" fontId="18" fillId="0" borderId="0" xfId="0" applyNumberFormat="1" applyFont="1" applyAlignment="1">
      <alignment horizontal="center" wrapText="1"/>
    </xf>
    <xf numFmtId="44" fontId="18" fillId="0" borderId="0" xfId="2" applyFont="1" applyBorder="1" applyAlignment="1">
      <alignment horizontal="center" wrapText="1"/>
    </xf>
    <xf numFmtId="44" fontId="2" fillId="0" borderId="0" xfId="2" applyFont="1" applyFill="1" applyBorder="1"/>
    <xf numFmtId="0" fontId="2" fillId="5" borderId="1" xfId="0" applyFont="1" applyFill="1" applyBorder="1" applyAlignment="1">
      <alignment horizontal="left"/>
    </xf>
    <xf numFmtId="0" fontId="2" fillId="5" borderId="1" xfId="0" applyFont="1" applyFill="1" applyBorder="1" applyAlignment="1">
      <alignment horizontal="center" wrapText="1"/>
    </xf>
    <xf numFmtId="49" fontId="2" fillId="5" borderId="1" xfId="0" applyNumberFormat="1" applyFont="1" applyFill="1" applyBorder="1" applyAlignment="1">
      <alignment horizontal="right" wrapText="1"/>
    </xf>
    <xf numFmtId="0" fontId="2" fillId="5" borderId="1" xfId="0" applyFont="1" applyFill="1" applyBorder="1" applyAlignment="1">
      <alignment horizontal="center"/>
    </xf>
    <xf numFmtId="44" fontId="4" fillId="0" borderId="0" xfId="2" applyFont="1" applyBorder="1"/>
    <xf numFmtId="0" fontId="3" fillId="0" borderId="0" xfId="0" applyFont="1" applyAlignment="1">
      <alignment horizontal="right"/>
    </xf>
    <xf numFmtId="164" fontId="2" fillId="0" borderId="0" xfId="4" applyNumberFormat="1" applyFont="1" applyBorder="1" applyAlignment="1">
      <alignment horizontal="right"/>
    </xf>
    <xf numFmtId="49" fontId="2" fillId="0" borderId="0" xfId="0" applyNumberFormat="1" applyFont="1" applyAlignment="1">
      <alignment horizontal="right"/>
    </xf>
    <xf numFmtId="44" fontId="2" fillId="0" borderId="0" xfId="2" applyFont="1" applyBorder="1" applyAlignment="1">
      <alignment horizontal="right"/>
    </xf>
    <xf numFmtId="0" fontId="16" fillId="5" borderId="6" xfId="0" applyFont="1" applyFill="1" applyBorder="1"/>
    <xf numFmtId="166" fontId="2" fillId="0" borderId="0" xfId="2" applyNumberFormat="1" applyFont="1" applyFill="1" applyBorder="1"/>
    <xf numFmtId="0" fontId="19" fillId="0" borderId="0" xfId="0" applyFont="1" applyAlignment="1">
      <alignment horizontal="left" vertical="top" wrapText="1"/>
    </xf>
    <xf numFmtId="0" fontId="22" fillId="0" borderId="0" xfId="0" applyFont="1" applyAlignment="1">
      <alignment horizontal="left" vertical="top" wrapText="1"/>
    </xf>
    <xf numFmtId="0" fontId="18" fillId="0" borderId="0" xfId="0" applyFont="1"/>
    <xf numFmtId="0" fontId="13" fillId="0" borderId="22" xfId="0" applyFont="1" applyBorder="1" applyAlignment="1">
      <alignment horizontal="center" wrapText="1"/>
    </xf>
    <xf numFmtId="0" fontId="4" fillId="0" borderId="0" xfId="0" applyFont="1" applyAlignment="1">
      <alignment horizontal="right"/>
    </xf>
    <xf numFmtId="49" fontId="0" fillId="4" borderId="0" xfId="0" applyNumberFormat="1" applyFill="1" applyAlignment="1">
      <alignment horizontal="center"/>
    </xf>
    <xf numFmtId="0" fontId="0" fillId="4" borderId="0" xfId="0" applyFill="1" applyAlignment="1">
      <alignment horizontal="center"/>
    </xf>
    <xf numFmtId="0" fontId="13" fillId="4" borderId="0" xfId="0" applyFont="1" applyFill="1"/>
    <xf numFmtId="0" fontId="17" fillId="4" borderId="0" xfId="0" applyFont="1" applyFill="1"/>
    <xf numFmtId="0" fontId="29" fillId="0" borderId="0" xfId="0" applyFont="1"/>
    <xf numFmtId="49" fontId="29" fillId="0" borderId="0" xfId="0" applyNumberFormat="1" applyFont="1" applyAlignment="1">
      <alignment horizontal="center"/>
    </xf>
    <xf numFmtId="164" fontId="29" fillId="0" borderId="0" xfId="0" applyNumberFormat="1" applyFont="1"/>
    <xf numFmtId="0" fontId="29" fillId="0" borderId="0" xfId="0" applyFont="1" applyAlignment="1">
      <alignment horizontal="center"/>
    </xf>
    <xf numFmtId="0" fontId="29" fillId="0" borderId="0" xfId="0" applyFont="1" applyAlignment="1">
      <alignment horizontal="left" indent="2"/>
    </xf>
    <xf numFmtId="0" fontId="0" fillId="0" borderId="0" xfId="0" applyAlignment="1">
      <alignment horizontal="left" indent="3"/>
    </xf>
    <xf numFmtId="0" fontId="4" fillId="0" borderId="0" xfId="0" applyFont="1" applyAlignment="1">
      <alignment horizontal="left" indent="2"/>
    </xf>
    <xf numFmtId="10" fontId="12" fillId="0" borderId="0" xfId="7" applyNumberFormat="1" applyFont="1" applyFill="1"/>
    <xf numFmtId="0" fontId="23" fillId="0" borderId="0" xfId="0" applyFont="1"/>
    <xf numFmtId="44" fontId="12" fillId="0" borderId="0" xfId="2" applyFont="1" applyFill="1"/>
    <xf numFmtId="0" fontId="13" fillId="0" borderId="1" xfId="0" applyFont="1" applyBorder="1" applyAlignment="1">
      <alignment horizontal="center" wrapText="1"/>
    </xf>
    <xf numFmtId="0" fontId="13" fillId="0" borderId="0" xfId="0" applyFont="1" applyAlignment="1">
      <alignment horizontal="right"/>
    </xf>
    <xf numFmtId="0" fontId="10" fillId="0" borderId="0" xfId="0" applyFont="1" applyAlignment="1">
      <alignment horizontal="left" vertical="top"/>
    </xf>
    <xf numFmtId="0" fontId="31" fillId="0" borderId="0" xfId="0" applyFont="1"/>
    <xf numFmtId="44" fontId="30" fillId="0" borderId="0" xfId="0" applyNumberFormat="1" applyFont="1"/>
    <xf numFmtId="0" fontId="32" fillId="0" borderId="0" xfId="0" applyFont="1"/>
    <xf numFmtId="0" fontId="17" fillId="0" borderId="0" xfId="0" applyFont="1" applyAlignment="1">
      <alignment horizontal="center" wrapText="1"/>
    </xf>
    <xf numFmtId="164" fontId="33" fillId="0" borderId="0" xfId="0" applyNumberFormat="1" applyFont="1"/>
    <xf numFmtId="167" fontId="33" fillId="0" borderId="0" xfId="1" applyNumberFormat="1" applyFont="1" applyBorder="1"/>
    <xf numFmtId="167" fontId="33" fillId="0" borderId="0" xfId="1" applyNumberFormat="1" applyFont="1"/>
    <xf numFmtId="164" fontId="34" fillId="0" borderId="3" xfId="2" applyNumberFormat="1" applyFont="1" applyFill="1" applyBorder="1" applyAlignment="1" applyProtection="1"/>
    <xf numFmtId="164" fontId="35" fillId="0" borderId="3" xfId="2" applyNumberFormat="1" applyFont="1" applyFill="1" applyBorder="1" applyAlignment="1" applyProtection="1"/>
    <xf numFmtId="167" fontId="35" fillId="0" borderId="3" xfId="1" applyNumberFormat="1" applyFont="1" applyFill="1" applyBorder="1" applyAlignment="1" applyProtection="1">
      <alignment horizontal="right"/>
    </xf>
    <xf numFmtId="167" fontId="35" fillId="0" borderId="0" xfId="1" applyNumberFormat="1" applyFont="1" applyFill="1" applyBorder="1" applyAlignment="1" applyProtection="1"/>
    <xf numFmtId="164" fontId="33" fillId="0" borderId="0" xfId="2" applyNumberFormat="1" applyFont="1" applyFill="1" applyBorder="1"/>
    <xf numFmtId="167" fontId="33" fillId="0" borderId="0" xfId="1" applyNumberFormat="1" applyFont="1" applyFill="1" applyBorder="1"/>
    <xf numFmtId="44" fontId="36" fillId="3" borderId="4" xfId="2" applyFont="1" applyFill="1" applyBorder="1"/>
    <xf numFmtId="167" fontId="35" fillId="0" borderId="3" xfId="1" applyNumberFormat="1" applyFont="1" applyFill="1" applyBorder="1" applyAlignment="1" applyProtection="1"/>
    <xf numFmtId="0" fontId="33" fillId="0" borderId="0" xfId="0" applyFont="1"/>
    <xf numFmtId="165" fontId="33" fillId="0" borderId="0" xfId="0" applyNumberFormat="1" applyFont="1"/>
    <xf numFmtId="165" fontId="36" fillId="0" borderId="0" xfId="4" applyNumberFormat="1" applyFont="1" applyBorder="1" applyAlignment="1">
      <alignment horizontal="right"/>
    </xf>
    <xf numFmtId="167" fontId="37" fillId="3" borderId="4" xfId="1" applyNumberFormat="1" applyFont="1" applyFill="1" applyBorder="1"/>
    <xf numFmtId="167" fontId="36" fillId="0" borderId="0" xfId="4" applyNumberFormat="1" applyFont="1" applyBorder="1" applyAlignment="1">
      <alignment horizontal="right"/>
    </xf>
    <xf numFmtId="44" fontId="4" fillId="0" borderId="0" xfId="2" applyFont="1"/>
    <xf numFmtId="42" fontId="36" fillId="0" borderId="3" xfId="0" applyNumberFormat="1" applyFont="1" applyBorder="1"/>
    <xf numFmtId="167" fontId="36" fillId="0" borderId="0" xfId="1" applyNumberFormat="1" applyFont="1" applyFill="1" applyBorder="1"/>
    <xf numFmtId="42" fontId="33" fillId="0" borderId="3" xfId="0" applyNumberFormat="1" applyFont="1" applyBorder="1"/>
    <xf numFmtId="42" fontId="33" fillId="0" borderId="0" xfId="0" applyNumberFormat="1" applyFont="1"/>
    <xf numFmtId="44" fontId="33" fillId="0" borderId="0" xfId="0" applyNumberFormat="1" applyFont="1"/>
    <xf numFmtId="166" fontId="36" fillId="0" borderId="3" xfId="2" applyNumberFormat="1" applyFont="1" applyFill="1" applyBorder="1"/>
    <xf numFmtId="44" fontId="38" fillId="0" borderId="0" xfId="2" applyFont="1"/>
    <xf numFmtId="44" fontId="38" fillId="0" borderId="3" xfId="2" applyFont="1" applyFill="1" applyBorder="1"/>
    <xf numFmtId="44" fontId="32" fillId="0" borderId="0" xfId="2" applyFont="1" applyFill="1"/>
    <xf numFmtId="10" fontId="32" fillId="0" borderId="0" xfId="7" applyNumberFormat="1" applyFont="1" applyFill="1"/>
    <xf numFmtId="44" fontId="32" fillId="0" borderId="0" xfId="9" applyFont="1" applyFill="1"/>
    <xf numFmtId="167" fontId="32" fillId="0" borderId="0" xfId="10" applyNumberFormat="1" applyFont="1" applyFill="1"/>
    <xf numFmtId="0" fontId="39" fillId="0" borderId="0" xfId="0" applyFont="1"/>
    <xf numFmtId="0" fontId="12" fillId="0" borderId="0" xfId="11" applyFont="1"/>
    <xf numFmtId="0" fontId="4" fillId="7" borderId="0" xfId="0" applyFont="1" applyFill="1"/>
    <xf numFmtId="44" fontId="4" fillId="7" borderId="0" xfId="2" applyFont="1" applyFill="1"/>
    <xf numFmtId="9" fontId="4" fillId="7" borderId="0" xfId="4" applyFont="1" applyFill="1"/>
    <xf numFmtId="44" fontId="4" fillId="7" borderId="0" xfId="2" applyFont="1" applyFill="1" applyBorder="1"/>
    <xf numFmtId="42" fontId="4" fillId="7" borderId="0" xfId="0" applyNumberFormat="1" applyFont="1" applyFill="1"/>
    <xf numFmtId="0" fontId="4" fillId="7" borderId="0" xfId="0" applyFont="1" applyFill="1" applyAlignment="1">
      <alignment horizontal="center"/>
    </xf>
    <xf numFmtId="41" fontId="4" fillId="7" borderId="0" xfId="0" applyNumberFormat="1" applyFont="1" applyFill="1"/>
    <xf numFmtId="9" fontId="4" fillId="7" borderId="3" xfId="4" applyFont="1" applyFill="1" applyBorder="1"/>
    <xf numFmtId="0" fontId="12" fillId="0" borderId="23" xfId="0" applyFont="1" applyBorder="1"/>
    <xf numFmtId="0" fontId="12" fillId="0" borderId="24" xfId="0" applyFont="1" applyBorder="1"/>
    <xf numFmtId="0" fontId="12" fillId="0" borderId="25" xfId="0" applyFont="1" applyBorder="1"/>
    <xf numFmtId="0" fontId="12" fillId="0" borderId="26" xfId="0" applyFont="1" applyBorder="1"/>
    <xf numFmtId="0" fontId="12" fillId="0" borderId="27" xfId="0" applyFont="1" applyBorder="1"/>
    <xf numFmtId="0" fontId="39" fillId="7" borderId="0" xfId="0" applyFont="1" applyFill="1"/>
    <xf numFmtId="0" fontId="12" fillId="7" borderId="0" xfId="0" applyFont="1" applyFill="1"/>
    <xf numFmtId="0" fontId="12" fillId="0" borderId="28" xfId="0" applyFont="1" applyBorder="1"/>
    <xf numFmtId="0" fontId="12" fillId="0" borderId="29" xfId="0" applyFont="1" applyBorder="1"/>
    <xf numFmtId="0" fontId="12" fillId="0" borderId="30" xfId="0" applyFont="1" applyBorder="1"/>
    <xf numFmtId="0" fontId="12" fillId="7" borderId="1" xfId="0" applyFont="1" applyFill="1" applyBorder="1" applyAlignment="1">
      <alignment horizontal="left"/>
    </xf>
    <xf numFmtId="44" fontId="38" fillId="0" borderId="20" xfId="0" applyNumberFormat="1" applyFont="1" applyBorder="1" applyAlignment="1">
      <alignment horizontal="center" wrapText="1"/>
    </xf>
    <xf numFmtId="44" fontId="38" fillId="0" borderId="21" xfId="0" applyNumberFormat="1" applyFont="1" applyBorder="1" applyAlignment="1">
      <alignment horizontal="center" wrapText="1"/>
    </xf>
    <xf numFmtId="49" fontId="31" fillId="0" borderId="0" xfId="0" applyNumberFormat="1" applyFont="1"/>
    <xf numFmtId="9" fontId="4" fillId="7" borderId="0" xfId="4" applyFont="1" applyFill="1" applyAlignment="1">
      <alignment horizontal="center"/>
    </xf>
    <xf numFmtId="164" fontId="4" fillId="7" borderId="0" xfId="0" applyNumberFormat="1" applyFont="1" applyFill="1"/>
    <xf numFmtId="10" fontId="4" fillId="7" borderId="0" xfId="4" applyNumberFormat="1" applyFont="1" applyFill="1" applyBorder="1" applyAlignment="1">
      <alignment horizontal="center"/>
    </xf>
    <xf numFmtId="9" fontId="4" fillId="7" borderId="0" xfId="4" applyFont="1" applyFill="1" applyBorder="1" applyAlignment="1">
      <alignment horizontal="center"/>
    </xf>
    <xf numFmtId="167" fontId="4" fillId="7" borderId="0" xfId="1" applyNumberFormat="1" applyFont="1" applyFill="1"/>
    <xf numFmtId="167" fontId="0" fillId="7" borderId="0" xfId="1" applyNumberFormat="1" applyFont="1" applyFill="1"/>
    <xf numFmtId="49" fontId="2" fillId="7" borderId="1" xfId="0" applyNumberFormat="1" applyFont="1" applyFill="1" applyBorder="1" applyAlignment="1">
      <alignment horizontal="left" wrapText="1"/>
    </xf>
    <xf numFmtId="49" fontId="2" fillId="7" borderId="1" xfId="0" applyNumberFormat="1" applyFont="1" applyFill="1" applyBorder="1" applyAlignment="1">
      <alignment horizontal="left"/>
    </xf>
    <xf numFmtId="0" fontId="39" fillId="8" borderId="0" xfId="0" applyFont="1" applyFill="1"/>
    <xf numFmtId="0" fontId="12" fillId="8" borderId="0" xfId="0" applyFont="1" applyFill="1"/>
    <xf numFmtId="14" fontId="1" fillId="7" borderId="0" xfId="0" applyNumberFormat="1" applyFont="1" applyFill="1" applyAlignment="1">
      <alignment horizontal="center"/>
    </xf>
    <xf numFmtId="2" fontId="33" fillId="0" borderId="0" xfId="0" applyNumberFormat="1" applyFont="1" applyAlignment="1">
      <alignment horizontal="center"/>
    </xf>
    <xf numFmtId="0" fontId="1" fillId="0" borderId="0" xfId="0" applyFont="1"/>
    <xf numFmtId="14" fontId="13" fillId="8" borderId="5" xfId="0" applyNumberFormat="1" applyFont="1" applyFill="1" applyBorder="1" applyAlignment="1">
      <alignment horizontal="left" vertical="top" wrapText="1"/>
    </xf>
    <xf numFmtId="44" fontId="12" fillId="8" borderId="0" xfId="2" applyFont="1" applyFill="1"/>
    <xf numFmtId="44" fontId="12" fillId="8" borderId="1" xfId="2" applyFont="1" applyFill="1" applyBorder="1"/>
    <xf numFmtId="44" fontId="12" fillId="8" borderId="0" xfId="9" applyFont="1" applyFill="1"/>
    <xf numFmtId="0" fontId="13" fillId="6" borderId="31" xfId="0" applyFont="1" applyFill="1" applyBorder="1"/>
    <xf numFmtId="0" fontId="17" fillId="6" borderId="32" xfId="0" applyFont="1" applyFill="1" applyBorder="1"/>
    <xf numFmtId="0" fontId="17" fillId="6" borderId="33" xfId="0" applyFont="1" applyFill="1" applyBorder="1"/>
    <xf numFmtId="44" fontId="38" fillId="9" borderId="4" xfId="14" applyFont="1" applyFill="1" applyBorder="1"/>
    <xf numFmtId="0" fontId="1" fillId="7" borderId="0" xfId="0" applyFont="1" applyFill="1"/>
    <xf numFmtId="166" fontId="1" fillId="7" borderId="0" xfId="2" applyNumberFormat="1" applyFont="1" applyFill="1" applyAlignment="1">
      <alignment horizontal="right"/>
    </xf>
    <xf numFmtId="10" fontId="33" fillId="0" borderId="0" xfId="4" applyNumberFormat="1" applyFont="1" applyBorder="1" applyAlignment="1">
      <alignment horizontal="center"/>
    </xf>
    <xf numFmtId="0" fontId="33" fillId="0" borderId="0" xfId="0" applyFont="1" applyAlignment="1">
      <alignment horizontal="center"/>
    </xf>
    <xf numFmtId="167" fontId="33" fillId="0" borderId="0" xfId="1" applyNumberFormat="1" applyFont="1" applyFill="1"/>
    <xf numFmtId="0" fontId="1" fillId="7" borderId="0" xfId="0" applyFont="1" applyFill="1" applyAlignment="1">
      <alignment horizontal="center"/>
    </xf>
    <xf numFmtId="49" fontId="2" fillId="0" borderId="2" xfId="0" applyNumberFormat="1" applyFont="1" applyBorder="1" applyAlignment="1">
      <alignment horizontal="center" wrapText="1"/>
    </xf>
    <xf numFmtId="167" fontId="32" fillId="0" borderId="0" xfId="10" applyNumberFormat="1" applyFont="1" applyFill="1" applyBorder="1"/>
    <xf numFmtId="44" fontId="32" fillId="0" borderId="3" xfId="14" applyFont="1" applyFill="1" applyBorder="1"/>
    <xf numFmtId="0" fontId="2" fillId="0" borderId="0" xfId="0" applyFont="1" applyAlignment="1">
      <alignment horizontal="left"/>
    </xf>
    <xf numFmtId="0" fontId="33" fillId="0" borderId="0" xfId="0" applyFont="1" applyAlignment="1">
      <alignment horizontal="left"/>
    </xf>
    <xf numFmtId="0" fontId="12" fillId="7" borderId="5" xfId="0" applyFont="1" applyFill="1" applyBorder="1" applyAlignment="1">
      <alignment horizontal="center" vertical="center"/>
    </xf>
    <xf numFmtId="44" fontId="12" fillId="7" borderId="5" xfId="2" applyFont="1" applyFill="1" applyBorder="1" applyAlignment="1">
      <alignment vertical="center"/>
    </xf>
    <xf numFmtId="0" fontId="12" fillId="7" borderId="5" xfId="0" applyFont="1" applyFill="1" applyBorder="1" applyAlignment="1">
      <alignment vertical="center"/>
    </xf>
    <xf numFmtId="0" fontId="12" fillId="0" borderId="0" xfId="0" applyFont="1" applyAlignment="1">
      <alignment vertical="center"/>
    </xf>
    <xf numFmtId="10" fontId="1" fillId="8" borderId="0" xfId="4" applyNumberFormat="1" applyFont="1" applyFill="1" applyAlignment="1">
      <alignment horizontal="center"/>
    </xf>
    <xf numFmtId="167" fontId="4" fillId="7" borderId="0" xfId="1" applyNumberFormat="1" applyFont="1" applyFill="1" applyBorder="1"/>
    <xf numFmtId="167" fontId="36" fillId="0" borderId="3" xfId="1" applyNumberFormat="1" applyFont="1" applyBorder="1"/>
    <xf numFmtId="44" fontId="36" fillId="0" borderId="0" xfId="2" applyFont="1" applyFill="1" applyBorder="1"/>
    <xf numFmtId="44" fontId="33" fillId="0" borderId="3" xfId="2" applyFont="1" applyBorder="1"/>
    <xf numFmtId="166" fontId="36" fillId="0" borderId="0" xfId="2" applyNumberFormat="1" applyFont="1" applyFill="1" applyBorder="1"/>
    <xf numFmtId="42" fontId="36" fillId="0" borderId="0" xfId="0" applyNumberFormat="1" applyFont="1"/>
    <xf numFmtId="0" fontId="1" fillId="0" borderId="0" xfId="0" applyFont="1" applyAlignment="1">
      <alignment horizontal="right"/>
    </xf>
    <xf numFmtId="0" fontId="13" fillId="0" borderId="5" xfId="0" applyFont="1" applyBorder="1" applyAlignment="1">
      <alignment horizontal="center"/>
    </xf>
    <xf numFmtId="164" fontId="45" fillId="0" borderId="0" xfId="2" applyNumberFormat="1" applyFont="1" applyFill="1" applyBorder="1"/>
    <xf numFmtId="44" fontId="12" fillId="0" borderId="0" xfId="2" applyFont="1"/>
    <xf numFmtId="44" fontId="12" fillId="0" borderId="3" xfId="0" applyNumberFormat="1" applyFont="1" applyBorder="1"/>
    <xf numFmtId="10" fontId="38" fillId="0" borderId="0" xfId="7" applyNumberFormat="1" applyFont="1" applyFill="1"/>
    <xf numFmtId="44" fontId="32" fillId="0" borderId="0" xfId="15" applyFont="1"/>
    <xf numFmtId="44" fontId="38" fillId="0" borderId="3" xfId="2" applyFont="1" applyBorder="1"/>
    <xf numFmtId="44" fontId="32" fillId="0" borderId="0" xfId="2" applyFont="1" applyBorder="1"/>
    <xf numFmtId="44" fontId="38" fillId="0" borderId="0" xfId="2" applyFont="1" applyFill="1" applyBorder="1"/>
    <xf numFmtId="167" fontId="38" fillId="0" borderId="3" xfId="13" applyNumberFormat="1" applyFont="1" applyBorder="1"/>
    <xf numFmtId="0" fontId="1" fillId="8" borderId="0" xfId="0" applyFont="1" applyFill="1" applyAlignment="1">
      <alignment horizontal="center"/>
    </xf>
    <xf numFmtId="44" fontId="38" fillId="0" borderId="0" xfId="2" applyFont="1" applyBorder="1"/>
    <xf numFmtId="10" fontId="32" fillId="8" borderId="0" xfId="0" applyNumberFormat="1" applyFont="1" applyFill="1"/>
    <xf numFmtId="167" fontId="32" fillId="0" borderId="3" xfId="10" applyNumberFormat="1" applyFont="1" applyFill="1" applyBorder="1"/>
    <xf numFmtId="167" fontId="38" fillId="0" borderId="3" xfId="10" applyNumberFormat="1" applyFont="1" applyFill="1" applyBorder="1"/>
    <xf numFmtId="167" fontId="12" fillId="0" borderId="0" xfId="0" applyNumberFormat="1" applyFont="1"/>
    <xf numFmtId="0" fontId="13" fillId="0" borderId="0" xfId="0" applyFont="1" applyAlignment="1">
      <alignment vertical="center"/>
    </xf>
    <xf numFmtId="44" fontId="15" fillId="0" borderId="0" xfId="2" applyFont="1" applyBorder="1" applyAlignment="1">
      <alignment vertical="center"/>
    </xf>
    <xf numFmtId="44" fontId="24" fillId="0" borderId="0" xfId="2" applyFont="1" applyBorder="1" applyAlignment="1">
      <alignment vertical="center"/>
    </xf>
    <xf numFmtId="14" fontId="32" fillId="0" borderId="1" xfId="0" applyNumberFormat="1" applyFont="1" applyBorder="1" applyAlignment="1">
      <alignment horizontal="right"/>
    </xf>
    <xf numFmtId="14" fontId="12" fillId="8" borderId="1" xfId="0" applyNumberFormat="1" applyFont="1" applyFill="1" applyBorder="1" applyAlignment="1">
      <alignment horizontal="right"/>
    </xf>
    <xf numFmtId="9" fontId="46" fillId="0" borderId="0" xfId="4" applyFont="1" applyAlignment="1">
      <alignment horizontal="center" vertical="top"/>
    </xf>
    <xf numFmtId="9" fontId="46" fillId="0" borderId="0" xfId="4" applyFont="1" applyAlignment="1">
      <alignment horizontal="center"/>
    </xf>
    <xf numFmtId="9" fontId="46" fillId="0" borderId="0" xfId="4" applyFont="1" applyAlignment="1">
      <alignment horizontal="left" vertical="center"/>
    </xf>
    <xf numFmtId="167" fontId="12" fillId="8" borderId="0" xfId="13" applyNumberFormat="1" applyFont="1" applyFill="1"/>
    <xf numFmtId="44" fontId="30" fillId="0" borderId="0" xfId="2" applyFont="1" applyBorder="1" applyAlignment="1">
      <alignment horizontal="center" wrapText="1"/>
    </xf>
    <xf numFmtId="0" fontId="12" fillId="7" borderId="1" xfId="0" applyFont="1" applyFill="1" applyBorder="1" applyAlignment="1">
      <alignment horizontal="left"/>
    </xf>
    <xf numFmtId="0" fontId="16" fillId="5" borderId="7" xfId="0" applyFont="1" applyFill="1" applyBorder="1" applyAlignment="1">
      <alignment horizontal="left"/>
    </xf>
    <xf numFmtId="0" fontId="16" fillId="5" borderId="2" xfId="0" applyFont="1" applyFill="1" applyBorder="1" applyAlignment="1">
      <alignment horizontal="left"/>
    </xf>
    <xf numFmtId="0" fontId="13" fillId="0" borderId="0" xfId="0" applyFont="1" applyAlignment="1">
      <alignment horizontal="right" vertical="center"/>
    </xf>
    <xf numFmtId="41" fontId="18" fillId="0" borderId="1" xfId="0" applyNumberFormat="1" applyFont="1" applyBorder="1" applyAlignment="1">
      <alignment horizontal="center" wrapText="1"/>
    </xf>
    <xf numFmtId="0" fontId="17" fillId="7" borderId="10" xfId="0" applyFont="1" applyFill="1" applyBorder="1" applyAlignment="1">
      <alignment horizontal="left" vertical="top" wrapText="1"/>
    </xf>
    <xf numFmtId="0" fontId="17" fillId="7" borderId="3" xfId="0" applyFont="1" applyFill="1" applyBorder="1" applyAlignment="1">
      <alignment horizontal="left" vertical="top" wrapText="1"/>
    </xf>
    <xf numFmtId="0" fontId="17" fillId="7" borderId="11" xfId="0" applyFont="1" applyFill="1" applyBorder="1" applyAlignment="1">
      <alignment horizontal="left" vertical="top" wrapText="1"/>
    </xf>
    <xf numFmtId="0" fontId="17" fillId="7" borderId="12"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13" xfId="0" applyFont="1" applyFill="1" applyBorder="1" applyAlignment="1">
      <alignment horizontal="left" vertical="top" wrapText="1"/>
    </xf>
    <xf numFmtId="0" fontId="17" fillId="7" borderId="14" xfId="0" applyFont="1" applyFill="1" applyBorder="1" applyAlignment="1">
      <alignment horizontal="left" vertical="top" wrapText="1"/>
    </xf>
    <xf numFmtId="0" fontId="17" fillId="7" borderId="1" xfId="0" applyFont="1" applyFill="1" applyBorder="1" applyAlignment="1">
      <alignment horizontal="left" vertical="top" wrapText="1"/>
    </xf>
    <xf numFmtId="0" fontId="17" fillId="7" borderId="15" xfId="0" applyFont="1" applyFill="1" applyBorder="1" applyAlignment="1">
      <alignment horizontal="left" vertical="top" wrapText="1"/>
    </xf>
    <xf numFmtId="14" fontId="12" fillId="7" borderId="1" xfId="0" applyNumberFormat="1" applyFont="1" applyFill="1" applyBorder="1" applyAlignment="1">
      <alignment horizontal="left"/>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2" fillId="7" borderId="1" xfId="0" applyFont="1" applyFill="1" applyBorder="1" applyAlignment="1">
      <alignment horizontal="left" wrapText="1"/>
    </xf>
    <xf numFmtId="0" fontId="1" fillId="7" borderId="7"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6" xfId="0" applyFont="1" applyFill="1" applyBorder="1" applyAlignment="1">
      <alignment horizontal="left" vertical="top" wrapText="1"/>
    </xf>
    <xf numFmtId="0" fontId="3" fillId="5" borderId="10" xfId="0" applyFont="1" applyFill="1" applyBorder="1" applyAlignment="1">
      <alignment horizontal="center"/>
    </xf>
    <xf numFmtId="0" fontId="3" fillId="5" borderId="3" xfId="0" applyFont="1" applyFill="1" applyBorder="1" applyAlignment="1">
      <alignment horizontal="center"/>
    </xf>
    <xf numFmtId="0" fontId="3" fillId="5" borderId="11" xfId="0" applyFont="1" applyFill="1" applyBorder="1" applyAlignment="1">
      <alignment horizontal="center"/>
    </xf>
    <xf numFmtId="0" fontId="2" fillId="5" borderId="7" xfId="0" applyFont="1" applyFill="1" applyBorder="1" applyAlignment="1">
      <alignment horizontal="center"/>
    </xf>
    <xf numFmtId="0" fontId="2" fillId="5" borderId="2" xfId="0" applyFont="1" applyFill="1" applyBorder="1" applyAlignment="1">
      <alignment horizontal="center"/>
    </xf>
    <xf numFmtId="0" fontId="2" fillId="5" borderId="6" xfId="0" applyFont="1" applyFill="1" applyBorder="1" applyAlignment="1">
      <alignment horizontal="center"/>
    </xf>
    <xf numFmtId="0" fontId="3" fillId="2" borderId="0" xfId="0" applyFont="1" applyFill="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3" fillId="4" borderId="0" xfId="0" applyFont="1" applyFill="1"/>
    <xf numFmtId="0" fontId="8" fillId="0" borderId="0" xfId="0" applyFont="1" applyAlignment="1">
      <alignment horizontal="left" vertical="top" wrapText="1"/>
    </xf>
    <xf numFmtId="0" fontId="2" fillId="0" borderId="7" xfId="0" applyFont="1" applyBorder="1" applyAlignment="1">
      <alignment wrapText="1"/>
    </xf>
    <xf numFmtId="0" fontId="2" fillId="0" borderId="2" xfId="0" applyFont="1" applyBorder="1" applyAlignment="1">
      <alignment wrapText="1"/>
    </xf>
    <xf numFmtId="0" fontId="2" fillId="0" borderId="6" xfId="0" applyFont="1" applyBorder="1" applyAlignment="1">
      <alignment wrapText="1"/>
    </xf>
    <xf numFmtId="0" fontId="1" fillId="7" borderId="10"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2" fillId="0" borderId="2" xfId="0" applyFont="1" applyBorder="1" applyAlignment="1">
      <alignment horizontal="left" wrapText="1"/>
    </xf>
    <xf numFmtId="0" fontId="3" fillId="5" borderId="7" xfId="0" applyFont="1" applyFill="1" applyBorder="1" applyAlignment="1">
      <alignment horizontal="center"/>
    </xf>
    <xf numFmtId="0" fontId="3" fillId="5" borderId="2" xfId="0" applyFont="1" applyFill="1" applyBorder="1" applyAlignment="1">
      <alignment horizontal="center"/>
    </xf>
    <xf numFmtId="0" fontId="3" fillId="5" borderId="6" xfId="0" applyFont="1" applyFill="1" applyBorder="1" applyAlignment="1">
      <alignment horizontal="center"/>
    </xf>
    <xf numFmtId="0" fontId="17" fillId="8" borderId="8" xfId="0" applyFont="1" applyFill="1" applyBorder="1" applyAlignment="1">
      <alignment horizontal="left" vertical="center" wrapText="1"/>
    </xf>
    <xf numFmtId="0" fontId="17" fillId="8" borderId="16" xfId="0" applyFont="1" applyFill="1" applyBorder="1" applyAlignment="1">
      <alignment horizontal="left" vertical="center" wrapText="1"/>
    </xf>
    <xf numFmtId="0" fontId="17" fillId="8" borderId="17" xfId="0" applyFont="1" applyFill="1" applyBorder="1" applyAlignment="1">
      <alignment horizontal="left" vertical="center" wrapText="1"/>
    </xf>
    <xf numFmtId="0" fontId="17" fillId="8" borderId="34"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35" xfId="0" applyFont="1" applyFill="1" applyBorder="1" applyAlignment="1">
      <alignment horizontal="left" vertical="center" wrapText="1"/>
    </xf>
    <xf numFmtId="0" fontId="17" fillId="8" borderId="9" xfId="0" applyFont="1" applyFill="1" applyBorder="1" applyAlignment="1">
      <alignment horizontal="left" vertical="center" wrapText="1"/>
    </xf>
    <xf numFmtId="0" fontId="17" fillId="8" borderId="18" xfId="0" applyFont="1" applyFill="1" applyBorder="1" applyAlignment="1">
      <alignment horizontal="left" vertical="center" wrapText="1"/>
    </xf>
    <xf numFmtId="0" fontId="17" fillId="8" borderId="19" xfId="0" applyFont="1" applyFill="1" applyBorder="1" applyAlignment="1">
      <alignment horizontal="left"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0" xfId="16" applyFont="1" applyAlignment="1">
      <alignment horizontal="right" wrapText="1"/>
    </xf>
  </cellXfs>
  <cellStyles count="20">
    <cellStyle name="Comma" xfId="1" builtinId="3"/>
    <cellStyle name="Comma 2" xfId="5" xr:uid="{00000000-0005-0000-0000-000001000000}"/>
    <cellStyle name="Comma 2 2" xfId="12" xr:uid="{22E5F4E7-FA23-43A2-A2EE-045C3E048B21}"/>
    <cellStyle name="Comma 3" xfId="10" xr:uid="{7E9E54AD-1D2D-4715-A139-F3B00F765315}"/>
    <cellStyle name="Comma 3 2" xfId="13" xr:uid="{40852B72-20B8-4206-9F80-56A40778F97A}"/>
    <cellStyle name="Currency" xfId="2" builtinId="4"/>
    <cellStyle name="Currency 2" xfId="6" xr:uid="{00000000-0005-0000-0000-000003000000}"/>
    <cellStyle name="Currency 2 2" xfId="14" xr:uid="{E89FA418-D679-4100-9ECC-B7DE9891A785}"/>
    <cellStyle name="Currency 3" xfId="9" xr:uid="{94B01C25-0C05-4468-9AF0-CE70CDCD910A}"/>
    <cellStyle name="Currency 3 2" xfId="15" xr:uid="{F1A70F21-071D-4949-90DC-27A0917143CF}"/>
    <cellStyle name="Hyperlink" xfId="3" builtinId="8"/>
    <cellStyle name="Normal" xfId="0" builtinId="0"/>
    <cellStyle name="Normal 2" xfId="8" xr:uid="{00000000-0005-0000-0000-000006000000}"/>
    <cellStyle name="Normal 2 2" xfId="16" xr:uid="{19EBD4AA-3B0C-4672-8062-9BF73F28EBA6}"/>
    <cellStyle name="Normal 3" xfId="11" xr:uid="{18514216-A1F0-4F56-8AE1-8C48DAEFDDA0}"/>
    <cellStyle name="Percent" xfId="4" builtinId="5"/>
    <cellStyle name="Percent 2" xfId="7" xr:uid="{00000000-0005-0000-0000-000008000000}"/>
    <cellStyle name="Percent 2 2" xfId="17" xr:uid="{97B3B970-0292-44AD-9BE0-2F7F8B7654B2}"/>
    <cellStyle name="Percent 3" xfId="18" xr:uid="{768E0493-040A-47B8-B499-FAA92B71C0AD}"/>
    <cellStyle name="Percent 3 2" xfId="19" xr:uid="{B7A86820-C20E-4FA0-8D91-82F7EA7442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I43"/>
  <sheetViews>
    <sheetView showGridLines="0" topLeftCell="A8" zoomScaleNormal="100" workbookViewId="0">
      <selection activeCell="C4" sqref="C4:D4"/>
    </sheetView>
  </sheetViews>
  <sheetFormatPr defaultColWidth="9.33203125" defaultRowHeight="12.75" x14ac:dyDescent="0.2"/>
  <cols>
    <col min="1" max="1" width="17.6640625" style="35" customWidth="1"/>
    <col min="2" max="2" width="4.6640625" style="35" customWidth="1"/>
    <col min="3" max="3" width="15.6640625" style="35" customWidth="1"/>
    <col min="4" max="4" width="7.83203125" style="35" customWidth="1"/>
    <col min="5" max="5" width="16.6640625" style="35" customWidth="1"/>
    <col min="6" max="6" width="0.6640625" style="35" customWidth="1"/>
    <col min="7" max="7" width="9.33203125" style="35"/>
    <col min="8" max="8" width="11.33203125" style="35" customWidth="1"/>
    <col min="9" max="9" width="0.6640625" style="35" customWidth="1"/>
    <col min="10" max="10" width="20.33203125" style="35" customWidth="1"/>
    <col min="11" max="11" width="0.6640625" style="35" customWidth="1"/>
    <col min="12" max="12" width="18.83203125" style="35" customWidth="1"/>
    <col min="13" max="13" width="0.6640625" style="35" customWidth="1"/>
    <col min="14" max="14" width="18.83203125" style="35" customWidth="1"/>
    <col min="15" max="15" width="0.6640625" style="35" customWidth="1"/>
    <col min="16" max="16" width="18.83203125" style="35" customWidth="1"/>
    <col min="17" max="17" width="0.6640625" style="35" customWidth="1"/>
    <col min="18" max="18" width="18.83203125" style="35" customWidth="1"/>
    <col min="19" max="19" width="0.6640625" style="35" customWidth="1"/>
    <col min="20" max="20" width="18.83203125" style="35" customWidth="1"/>
    <col min="21" max="21" width="0.6640625" style="35" customWidth="1"/>
    <col min="22" max="22" width="18.83203125" style="35" customWidth="1"/>
    <col min="23" max="16384" width="9.33203125" style="35"/>
  </cols>
  <sheetData>
    <row r="1" spans="1:35" ht="21.75" customHeight="1" thickBot="1" x14ac:dyDescent="0.35">
      <c r="A1" s="69" t="s">
        <v>16</v>
      </c>
      <c r="B1" s="36"/>
      <c r="C1" s="36"/>
      <c r="D1" s="36"/>
      <c r="E1" s="36"/>
      <c r="F1" s="36"/>
      <c r="G1" s="36"/>
      <c r="H1" s="36"/>
      <c r="I1" s="36"/>
      <c r="J1" s="36"/>
      <c r="K1" s="36"/>
      <c r="L1" s="36"/>
      <c r="M1" s="36"/>
      <c r="N1" s="36"/>
      <c r="O1" s="68"/>
      <c r="P1" s="36"/>
      <c r="Q1" s="36"/>
      <c r="R1" s="36"/>
      <c r="S1" s="36"/>
      <c r="T1" s="36"/>
      <c r="U1" s="36"/>
      <c r="V1" s="68" t="s">
        <v>44</v>
      </c>
      <c r="X1" s="37" t="s">
        <v>214</v>
      </c>
    </row>
    <row r="2" spans="1:35" ht="13.5" customHeight="1" x14ac:dyDescent="0.3">
      <c r="A2" s="70"/>
      <c r="N2" s="37"/>
      <c r="O2" s="37"/>
      <c r="X2" s="172"/>
      <c r="Y2" s="173"/>
      <c r="Z2" s="173"/>
      <c r="AA2" s="173"/>
      <c r="AB2" s="173"/>
      <c r="AC2" s="173"/>
      <c r="AD2" s="173"/>
      <c r="AE2" s="173"/>
      <c r="AF2" s="173"/>
      <c r="AG2" s="173"/>
      <c r="AH2" s="173"/>
      <c r="AI2" s="174"/>
    </row>
    <row r="3" spans="1:35" ht="18.75" x14ac:dyDescent="0.3">
      <c r="A3" s="37"/>
      <c r="X3" s="175"/>
      <c r="Y3" s="162" t="s">
        <v>203</v>
      </c>
      <c r="AI3" s="176"/>
    </row>
    <row r="4" spans="1:35" ht="21" customHeight="1" x14ac:dyDescent="0.3">
      <c r="A4" s="37" t="s">
        <v>215</v>
      </c>
      <c r="C4" s="270">
        <v>44894</v>
      </c>
      <c r="D4" s="256"/>
      <c r="X4" s="175"/>
      <c r="Y4" s="177" t="s">
        <v>206</v>
      </c>
      <c r="Z4" s="178"/>
      <c r="AA4" s="178"/>
      <c r="AB4" s="178"/>
      <c r="AC4" s="178"/>
      <c r="AD4" s="178"/>
      <c r="AE4" s="178"/>
      <c r="AF4" s="178"/>
      <c r="AG4" s="178"/>
      <c r="AH4" s="178"/>
      <c r="AI4" s="176"/>
    </row>
    <row r="5" spans="1:35" ht="24.75" customHeight="1" x14ac:dyDescent="0.3">
      <c r="A5" s="37" t="s">
        <v>288</v>
      </c>
      <c r="C5" s="256" t="s">
        <v>20</v>
      </c>
      <c r="D5" s="256"/>
      <c r="E5" s="41"/>
      <c r="F5" s="41"/>
      <c r="X5" s="175"/>
      <c r="Y5" s="194" t="s">
        <v>247</v>
      </c>
      <c r="Z5" s="195"/>
      <c r="AA5" s="195"/>
      <c r="AB5" s="195"/>
      <c r="AC5" s="195"/>
      <c r="AD5" s="195"/>
      <c r="AE5" s="195"/>
      <c r="AF5" s="195"/>
      <c r="AG5" s="195"/>
      <c r="AH5" s="195"/>
      <c r="AI5" s="176"/>
    </row>
    <row r="6" spans="1:35" ht="24.75" customHeight="1" thickBot="1" x14ac:dyDescent="0.25">
      <c r="A6" s="37" t="s">
        <v>289</v>
      </c>
      <c r="C6" s="256" t="s">
        <v>207</v>
      </c>
      <c r="D6" s="256"/>
      <c r="E6" s="41"/>
      <c r="F6" s="41"/>
      <c r="X6" s="179"/>
      <c r="Y6" s="180"/>
      <c r="Z6" s="180"/>
      <c r="AA6" s="180"/>
      <c r="AB6" s="180"/>
      <c r="AC6" s="180"/>
      <c r="AD6" s="180"/>
      <c r="AE6" s="180"/>
      <c r="AF6" s="180"/>
      <c r="AG6" s="180"/>
      <c r="AH6" s="180"/>
      <c r="AI6" s="181"/>
    </row>
    <row r="7" spans="1:35" ht="24.75" customHeight="1" x14ac:dyDescent="0.2">
      <c r="A7" s="37" t="s">
        <v>17</v>
      </c>
      <c r="C7" s="256" t="s">
        <v>21</v>
      </c>
      <c r="D7" s="256"/>
      <c r="E7" s="256"/>
      <c r="F7" s="256"/>
      <c r="G7" s="256"/>
      <c r="H7" s="41"/>
    </row>
    <row r="8" spans="1:35" ht="24.75" customHeight="1" x14ac:dyDescent="0.2">
      <c r="A8" s="37" t="s">
        <v>18</v>
      </c>
      <c r="D8" s="256" t="s">
        <v>184</v>
      </c>
      <c r="E8" s="256"/>
      <c r="F8" s="256"/>
      <c r="G8" s="256"/>
      <c r="H8" s="256"/>
    </row>
    <row r="9" spans="1:35" ht="22.5" customHeight="1" x14ac:dyDescent="0.2">
      <c r="A9" s="37" t="s">
        <v>209</v>
      </c>
      <c r="D9" s="256" t="s">
        <v>233</v>
      </c>
      <c r="E9" s="256"/>
      <c r="F9" s="256"/>
      <c r="G9" s="256"/>
      <c r="H9" s="256"/>
      <c r="I9" s="256"/>
      <c r="J9" s="256"/>
      <c r="K9" s="256"/>
      <c r="L9" s="256"/>
    </row>
    <row r="10" spans="1:35" ht="22.5" customHeight="1" x14ac:dyDescent="0.2">
      <c r="A10" s="37" t="s">
        <v>208</v>
      </c>
      <c r="D10" s="275" t="s">
        <v>234</v>
      </c>
      <c r="E10" s="275"/>
      <c r="F10" s="275"/>
      <c r="G10" s="275"/>
      <c r="H10" s="275"/>
      <c r="I10" s="275"/>
      <c r="J10" s="275"/>
      <c r="K10" s="275"/>
      <c r="L10" s="275"/>
    </row>
    <row r="11" spans="1:35" x14ac:dyDescent="0.2">
      <c r="A11" s="37"/>
      <c r="D11" s="71"/>
      <c r="G11" s="71"/>
      <c r="H11" s="72"/>
      <c r="I11" s="71"/>
      <c r="J11" s="71"/>
      <c r="K11" s="71"/>
    </row>
    <row r="12" spans="1:35" x14ac:dyDescent="0.2">
      <c r="A12" s="37" t="s">
        <v>216</v>
      </c>
      <c r="C12" s="249">
        <f ca="1">TODAY()</f>
        <v>45716</v>
      </c>
      <c r="D12" s="71"/>
      <c r="G12" s="71"/>
      <c r="H12" s="72"/>
      <c r="I12" s="71"/>
      <c r="J12" s="71"/>
      <c r="K12" s="71"/>
    </row>
    <row r="13" spans="1:35" x14ac:dyDescent="0.2">
      <c r="A13" s="37" t="s">
        <v>60</v>
      </c>
      <c r="C13" s="250">
        <f ca="1">C12</f>
        <v>45716</v>
      </c>
      <c r="D13" s="71"/>
      <c r="F13" s="71"/>
      <c r="G13" s="72"/>
      <c r="H13" s="71"/>
      <c r="I13" s="71"/>
    </row>
    <row r="14" spans="1:35" ht="22.5" customHeight="1" x14ac:dyDescent="0.2">
      <c r="A14" s="37" t="s">
        <v>46</v>
      </c>
      <c r="D14" s="71"/>
      <c r="E14" s="182" t="s">
        <v>59</v>
      </c>
      <c r="F14" s="72" t="s">
        <v>271</v>
      </c>
      <c r="I14" s="71"/>
      <c r="J14" s="71"/>
      <c r="K14" s="71"/>
    </row>
    <row r="15" spans="1:35" ht="15.75" customHeight="1" thickBot="1" x14ac:dyDescent="0.25">
      <c r="A15" s="37"/>
      <c r="D15" s="38"/>
      <c r="E15" s="38"/>
      <c r="F15" s="38"/>
      <c r="G15" s="38"/>
      <c r="H15" s="38"/>
      <c r="I15" s="38"/>
      <c r="J15" s="38"/>
      <c r="K15" s="38"/>
    </row>
    <row r="16" spans="1:35" s="64" customFormat="1" ht="15" customHeight="1" x14ac:dyDescent="0.2">
      <c r="A16" s="65" t="s">
        <v>45</v>
      </c>
      <c r="B16" s="271" t="s">
        <v>232</v>
      </c>
      <c r="C16" s="271"/>
      <c r="D16" s="271"/>
      <c r="E16" s="271"/>
      <c r="F16" s="271"/>
      <c r="G16" s="271"/>
      <c r="H16" s="271"/>
      <c r="I16" s="271"/>
      <c r="J16" s="271"/>
      <c r="K16" s="271"/>
      <c r="L16" s="271"/>
      <c r="M16" s="271"/>
      <c r="N16" s="272"/>
      <c r="O16" s="107"/>
    </row>
    <row r="17" spans="1:20" s="64" customFormat="1" ht="30" customHeight="1" thickBot="1" x14ac:dyDescent="0.25">
      <c r="A17" s="66"/>
      <c r="B17" s="273"/>
      <c r="C17" s="273"/>
      <c r="D17" s="273"/>
      <c r="E17" s="273"/>
      <c r="F17" s="273"/>
      <c r="G17" s="273"/>
      <c r="H17" s="273"/>
      <c r="I17" s="273"/>
      <c r="J17" s="273"/>
      <c r="K17" s="273"/>
      <c r="L17" s="273"/>
      <c r="M17" s="273"/>
      <c r="N17" s="274"/>
      <c r="O17" s="107"/>
    </row>
    <row r="18" spans="1:20" x14ac:dyDescent="0.2">
      <c r="A18" s="37"/>
    </row>
    <row r="19" spans="1:20" ht="12.75" customHeight="1" x14ac:dyDescent="0.2">
      <c r="A19" s="246" t="s">
        <v>30</v>
      </c>
      <c r="B19" s="218" t="s">
        <v>42</v>
      </c>
      <c r="C19" s="221" t="s">
        <v>14</v>
      </c>
      <c r="D19" s="246" t="s">
        <v>180</v>
      </c>
      <c r="E19" s="219" t="s">
        <v>250</v>
      </c>
      <c r="F19" s="247"/>
      <c r="G19" s="221" t="s">
        <v>15</v>
      </c>
      <c r="H19" s="220" t="s">
        <v>251</v>
      </c>
      <c r="I19" s="221"/>
      <c r="J19" s="259" t="s">
        <v>43</v>
      </c>
      <c r="K19" s="259"/>
      <c r="L19" s="261" t="s">
        <v>217</v>
      </c>
      <c r="M19" s="262"/>
      <c r="N19" s="263"/>
      <c r="O19" s="108"/>
    </row>
    <row r="20" spans="1:20" ht="6" customHeight="1" x14ac:dyDescent="0.2">
      <c r="A20" s="246"/>
      <c r="B20" s="221"/>
      <c r="C20" s="221"/>
      <c r="D20" s="246"/>
      <c r="E20" s="221"/>
      <c r="F20" s="221"/>
      <c r="G20" s="221"/>
      <c r="H20" s="221"/>
      <c r="I20" s="221"/>
      <c r="J20" s="221"/>
      <c r="K20" s="221"/>
      <c r="L20" s="264"/>
      <c r="M20" s="265"/>
      <c r="N20" s="266"/>
      <c r="O20" s="108"/>
    </row>
    <row r="21" spans="1:20" x14ac:dyDescent="0.2">
      <c r="A21" s="246"/>
      <c r="B21" s="218" t="s">
        <v>42</v>
      </c>
      <c r="C21" s="221" t="s">
        <v>248</v>
      </c>
      <c r="D21" s="246" t="s">
        <v>180</v>
      </c>
      <c r="E21" s="219" t="s">
        <v>165</v>
      </c>
      <c r="F21" s="248"/>
      <c r="G21" s="221" t="s">
        <v>15</v>
      </c>
      <c r="H21" s="220" t="s">
        <v>251</v>
      </c>
      <c r="I21" s="221"/>
      <c r="J21" s="221"/>
      <c r="K21" s="221"/>
      <c r="L21" s="264"/>
      <c r="M21" s="265"/>
      <c r="N21" s="266"/>
      <c r="O21" s="108"/>
    </row>
    <row r="22" spans="1:20" ht="6" customHeight="1" x14ac:dyDescent="0.2">
      <c r="A22" s="246"/>
      <c r="B22" s="221"/>
      <c r="C22" s="221"/>
      <c r="D22" s="246"/>
      <c r="E22" s="221"/>
      <c r="F22" s="221"/>
      <c r="G22" s="221"/>
      <c r="H22" s="221"/>
      <c r="I22" s="221"/>
      <c r="J22" s="221"/>
      <c r="K22" s="221"/>
      <c r="L22" s="264"/>
      <c r="M22" s="265"/>
      <c r="N22" s="266"/>
      <c r="O22" s="108"/>
    </row>
    <row r="23" spans="1:20" x14ac:dyDescent="0.2">
      <c r="A23" s="246"/>
      <c r="B23" s="218" t="s">
        <v>42</v>
      </c>
      <c r="C23" s="221" t="s">
        <v>249</v>
      </c>
      <c r="D23" s="246" t="s">
        <v>180</v>
      </c>
      <c r="E23" s="219" t="s">
        <v>165</v>
      </c>
      <c r="F23" s="248"/>
      <c r="G23" s="221" t="s">
        <v>15</v>
      </c>
      <c r="H23" s="220" t="s">
        <v>251</v>
      </c>
      <c r="I23" s="221"/>
      <c r="J23" s="221"/>
      <c r="K23" s="221"/>
      <c r="L23" s="264"/>
      <c r="M23" s="265"/>
      <c r="N23" s="266"/>
      <c r="O23" s="108"/>
    </row>
    <row r="24" spans="1:20" x14ac:dyDescent="0.2">
      <c r="L24" s="267"/>
      <c r="M24" s="268"/>
      <c r="N24" s="269"/>
    </row>
    <row r="25" spans="1:20" x14ac:dyDescent="0.2">
      <c r="C25" s="58"/>
      <c r="D25" s="58"/>
      <c r="E25" s="58"/>
      <c r="F25" s="58"/>
      <c r="G25" s="58"/>
      <c r="H25" s="58"/>
      <c r="I25" s="58"/>
      <c r="J25" s="58"/>
      <c r="K25" s="58"/>
      <c r="L25" s="58"/>
      <c r="M25" s="58"/>
      <c r="N25" s="59"/>
      <c r="O25" s="59"/>
      <c r="P25" s="58"/>
      <c r="Q25" s="58"/>
    </row>
    <row r="26" spans="1:20" ht="15.75" x14ac:dyDescent="0.25">
      <c r="A26" s="63" t="s">
        <v>22</v>
      </c>
      <c r="B26" s="36"/>
      <c r="C26" s="60"/>
      <c r="D26" s="60"/>
      <c r="E26" s="60"/>
      <c r="F26" s="60"/>
      <c r="G26" s="60"/>
      <c r="H26" s="60"/>
      <c r="I26" s="60"/>
      <c r="J26" s="60"/>
      <c r="K26" s="60"/>
      <c r="L26" s="60"/>
      <c r="M26" s="60"/>
      <c r="N26" s="60"/>
      <c r="O26" s="109"/>
      <c r="Q26" s="58"/>
    </row>
    <row r="27" spans="1:20" ht="13.5" thickBot="1" x14ac:dyDescent="0.25">
      <c r="B27" s="58"/>
      <c r="C27" s="58"/>
      <c r="D27" s="58"/>
      <c r="E27" s="58"/>
      <c r="F27" s="58"/>
      <c r="G27" s="58"/>
      <c r="H27" s="58"/>
      <c r="I27" s="58"/>
      <c r="J27" s="58"/>
      <c r="K27" s="58"/>
      <c r="L27" s="61"/>
      <c r="M27" s="61"/>
      <c r="N27" s="58"/>
      <c r="O27" s="58"/>
      <c r="Q27" s="58"/>
    </row>
    <row r="28" spans="1:20" ht="39.75" customHeight="1" x14ac:dyDescent="0.25">
      <c r="A28" s="257" t="s">
        <v>144</v>
      </c>
      <c r="B28" s="258"/>
      <c r="C28" s="258"/>
      <c r="D28" s="258"/>
      <c r="E28" s="105"/>
      <c r="F28" s="58"/>
      <c r="G28" s="260" t="s">
        <v>260</v>
      </c>
      <c r="H28" s="260"/>
      <c r="I28" s="58"/>
      <c r="J28" s="62" t="s">
        <v>259</v>
      </c>
      <c r="K28" s="93"/>
      <c r="L28" s="62" t="s">
        <v>262</v>
      </c>
      <c r="N28" s="62" t="s">
        <v>263</v>
      </c>
      <c r="O28" s="93"/>
      <c r="P28" s="62" t="s">
        <v>153</v>
      </c>
      <c r="Q28" s="58"/>
      <c r="R28" s="62" t="s">
        <v>264</v>
      </c>
      <c r="T28" s="110" t="s">
        <v>166</v>
      </c>
    </row>
    <row r="29" spans="1:20" ht="15.75" customHeight="1" x14ac:dyDescent="0.2">
      <c r="A29" s="185" t="str">
        <f>'.2 Direct &amp; Indirect Personnel'!D13</f>
        <v>DESIGNER</v>
      </c>
      <c r="B29" s="58"/>
      <c r="C29" s="58"/>
      <c r="D29" s="58"/>
      <c r="E29" s="58"/>
      <c r="F29" s="58"/>
      <c r="G29" s="255">
        <f>'.2 Direct &amp; Indirect Personnel'!J33</f>
        <v>50.383889440132258</v>
      </c>
      <c r="H29" s="255"/>
      <c r="I29" s="129"/>
      <c r="J29" s="130">
        <f>'.2 Direct &amp; Indirect Personnel'!$G$158</f>
        <v>9.965285711650063</v>
      </c>
      <c r="K29" s="130"/>
      <c r="L29" s="130">
        <f>'.3 Direct &amp; Indirect Costs'!$E$24</f>
        <v>0</v>
      </c>
      <c r="M29" s="131"/>
      <c r="N29" s="130">
        <f>'.3 Direct &amp; Indirect Costs'!M50</f>
        <v>0.49657747584244855</v>
      </c>
      <c r="O29" s="130"/>
      <c r="P29" s="130">
        <f>'.4 Equipment Use Fee (Indirect)'!M42</f>
        <v>0.13206657632732266</v>
      </c>
      <c r="Q29" s="129"/>
      <c r="R29" s="130">
        <f>-IF('.5 Lookback Analysis'!C46="Yes",'.5 Lookback Analysis'!$I$52,0)</f>
        <v>0</v>
      </c>
      <c r="T29" s="183">
        <f t="shared" ref="T29:T34" si="0">ROUNDDOWN(SUM(G29:R29),0)</f>
        <v>60</v>
      </c>
    </row>
    <row r="30" spans="1:20" ht="15.75" customHeight="1" x14ac:dyDescent="0.2">
      <c r="A30" s="185" t="str">
        <f>'.2 Direct &amp; Indirect Personnel'!D38</f>
        <v>CUSTOMER CONSULTANT</v>
      </c>
      <c r="B30" s="58"/>
      <c r="C30" s="58"/>
      <c r="D30" s="58"/>
      <c r="E30" s="58"/>
      <c r="F30" s="58"/>
      <c r="G30" s="255">
        <f>'.2 Direct &amp; Indirect Personnel'!J46</f>
        <v>37.547618182454165</v>
      </c>
      <c r="H30" s="255"/>
      <c r="I30" s="129"/>
      <c r="J30" s="130">
        <f>'.2 Direct &amp; Indirect Personnel'!$G$158</f>
        <v>9.965285711650063</v>
      </c>
      <c r="K30" s="130"/>
      <c r="L30" s="130">
        <f>'.3 Direct &amp; Indirect Costs'!$E$24</f>
        <v>0</v>
      </c>
      <c r="M30" s="131"/>
      <c r="N30" s="130">
        <f>'.3 Direct &amp; Indirect Costs'!N50</f>
        <v>2.9670940797186396</v>
      </c>
      <c r="O30" s="130"/>
      <c r="P30" s="130">
        <f>'.4 Equipment Use Fee (Indirect)'!N42</f>
        <v>0.78910940550560582</v>
      </c>
      <c r="Q30" s="129"/>
      <c r="R30" s="130">
        <f>-IF('.5 Lookback Analysis'!D46="Yes",'.5 Lookback Analysis'!$I$52,0)</f>
        <v>0</v>
      </c>
      <c r="T30" s="183">
        <f t="shared" si="0"/>
        <v>51</v>
      </c>
    </row>
    <row r="31" spans="1:20" ht="15.75" customHeight="1" x14ac:dyDescent="0.2">
      <c r="A31" s="185" t="str">
        <f>'.2 Direct &amp; Indirect Personnel'!D52</f>
        <v>CONSTRUCTION WORKER</v>
      </c>
      <c r="B31" s="58"/>
      <c r="C31" s="58"/>
      <c r="D31" s="58"/>
      <c r="E31" s="58"/>
      <c r="F31" s="58"/>
      <c r="G31" s="255">
        <f>'.2 Direct &amp; Indirect Personnel'!J71</f>
        <v>40.593974696996298</v>
      </c>
      <c r="H31" s="255"/>
      <c r="I31" s="129"/>
      <c r="J31" s="130">
        <f>'.2 Direct &amp; Indirect Personnel'!$G$158</f>
        <v>9.965285711650063</v>
      </c>
      <c r="K31" s="130"/>
      <c r="L31" s="130">
        <f>'.3 Direct &amp; Indirect Costs'!$E$24</f>
        <v>0</v>
      </c>
      <c r="M31" s="131"/>
      <c r="N31" s="130">
        <f>'.3 Direct &amp; Indirect Costs'!O50</f>
        <v>0.27926887005140227</v>
      </c>
      <c r="O31" s="130"/>
      <c r="P31" s="130">
        <f>'.4 Equipment Use Fee (Indirect)'!O42</f>
        <v>2.479935070790874E-2</v>
      </c>
      <c r="Q31" s="129"/>
      <c r="R31" s="130">
        <f>-IF('.5 Lookback Analysis'!E46="Yes",'.5 Lookback Analysis'!$I$52,0)</f>
        <v>0</v>
      </c>
      <c r="T31" s="183">
        <f t="shared" si="0"/>
        <v>50</v>
      </c>
    </row>
    <row r="32" spans="1:20" ht="15.75" customHeight="1" x14ac:dyDescent="0.2">
      <c r="A32" s="129" t="str">
        <f>'.2 Direct &amp; Indirect Personnel'!B78</f>
        <v>INSPECTOR</v>
      </c>
      <c r="B32" s="58"/>
      <c r="C32" s="58"/>
      <c r="D32" s="58"/>
      <c r="E32" s="58"/>
      <c r="F32" s="58"/>
      <c r="G32" s="255">
        <f>'.2 Direct &amp; Indirect Personnel'!J91</f>
        <v>51.24627491207503</v>
      </c>
      <c r="H32" s="255"/>
      <c r="I32" s="129"/>
      <c r="J32" s="130">
        <f>'.2 Direct &amp; Indirect Personnel'!$G$158</f>
        <v>9.965285711650063</v>
      </c>
      <c r="K32" s="130"/>
      <c r="L32" s="130">
        <f>'.3 Direct &amp; Indirect Costs'!$E$24</f>
        <v>0</v>
      </c>
      <c r="M32" s="131"/>
      <c r="N32" s="130">
        <f>'.3 Direct &amp; Indirect Costs'!P50</f>
        <v>0.7417735199296599</v>
      </c>
      <c r="O32" s="130"/>
      <c r="P32" s="130">
        <f>'.4 Equipment Use Fee (Indirect)'!P42</f>
        <v>6.6467090939541118E-2</v>
      </c>
      <c r="Q32" s="129"/>
      <c r="R32" s="130">
        <f>-IF('.5 Lookback Analysis'!F46="Yes",'.5 Lookback Analysis'!$I$52,0)</f>
        <v>0</v>
      </c>
      <c r="T32" s="183">
        <f t="shared" si="0"/>
        <v>62</v>
      </c>
    </row>
    <row r="33" spans="1:20" ht="15.75" customHeight="1" x14ac:dyDescent="0.2">
      <c r="A33" s="185" t="str">
        <f>'.2 Direct &amp; Indirect Personnel'!D97</f>
        <v>ASSISTANT OR STUDENT TECH</v>
      </c>
      <c r="B33" s="58"/>
      <c r="C33" s="58"/>
      <c r="D33" s="58"/>
      <c r="E33" s="58"/>
      <c r="F33" s="58"/>
      <c r="G33" s="255">
        <f>'.2 Direct &amp; Indirect Personnel'!J108</f>
        <v>5.7626473883027218</v>
      </c>
      <c r="H33" s="255"/>
      <c r="I33" s="129"/>
      <c r="J33" s="130">
        <f>'.2 Direct &amp; Indirect Personnel'!$G$158</f>
        <v>9.965285711650063</v>
      </c>
      <c r="K33" s="130"/>
      <c r="L33" s="130">
        <f>'.3 Direct &amp; Indirect Costs'!$E$24</f>
        <v>0</v>
      </c>
      <c r="M33" s="131"/>
      <c r="N33" s="130">
        <f>'.3 Direct &amp; Indirect Costs'!Q50</f>
        <v>1.3187084798749509</v>
      </c>
      <c r="O33" s="130"/>
      <c r="P33" s="130">
        <f>'.4 Equipment Use Fee (Indirect)'!Q42</f>
        <v>0.3507152913358248</v>
      </c>
      <c r="Q33" s="129"/>
      <c r="R33" s="130">
        <f>-IF('.5 Lookback Analysis'!G46="Yes",'.5 Lookback Analysis'!$I$52,0)</f>
        <v>0</v>
      </c>
      <c r="T33" s="183">
        <f t="shared" si="0"/>
        <v>17</v>
      </c>
    </row>
    <row r="34" spans="1:20" ht="15.75" customHeight="1" thickBot="1" x14ac:dyDescent="0.25">
      <c r="A34" s="185" t="str">
        <f>'.2 Direct &amp; Indirect Personnel'!D113</f>
        <v>SITE MANAGER</v>
      </c>
      <c r="B34" s="58"/>
      <c r="C34" s="58"/>
      <c r="D34" s="58"/>
      <c r="E34" s="58"/>
      <c r="F34" s="58"/>
      <c r="G34" s="255">
        <f>'.2 Direct &amp; Indirect Personnel'!J122</f>
        <v>63.827107121088702</v>
      </c>
      <c r="H34" s="255"/>
      <c r="I34" s="129"/>
      <c r="J34" s="130">
        <f>'.2 Direct &amp; Indirect Personnel'!$G$158</f>
        <v>9.965285711650063</v>
      </c>
      <c r="K34" s="130"/>
      <c r="L34" s="130">
        <f>'.3 Direct &amp; Indirect Costs'!$E$24</f>
        <v>0</v>
      </c>
      <c r="M34" s="131"/>
      <c r="N34" s="130">
        <f>'.3 Direct &amp; Indirect Costs'!R50</f>
        <v>1.9780627198124265</v>
      </c>
      <c r="O34" s="130"/>
      <c r="P34" s="130">
        <f>'.4 Equipment Use Fee (Indirect)'!R42</f>
        <v>0.52607293700373725</v>
      </c>
      <c r="Q34" s="129"/>
      <c r="R34" s="130">
        <f>-IF('.5 Lookback Analysis'!H46="Yes",'.5 Lookback Analysis'!$I$52,0)</f>
        <v>0</v>
      </c>
      <c r="T34" s="184">
        <f t="shared" si="0"/>
        <v>76</v>
      </c>
    </row>
    <row r="35" spans="1:20" ht="22.5" x14ac:dyDescent="0.2">
      <c r="B35" s="58"/>
      <c r="C35" s="58"/>
      <c r="D35" s="58"/>
      <c r="E35" s="58"/>
      <c r="F35" s="58"/>
      <c r="G35" s="58"/>
      <c r="H35" s="58"/>
      <c r="I35" s="58"/>
      <c r="J35" s="94"/>
      <c r="K35" s="94"/>
      <c r="L35" s="132" t="s">
        <v>261</v>
      </c>
      <c r="M35" s="58"/>
      <c r="Q35" s="58"/>
    </row>
    <row r="38" spans="1:20" x14ac:dyDescent="0.2">
      <c r="A38" s="35" t="s">
        <v>265</v>
      </c>
    </row>
    <row r="39" spans="1:20" x14ac:dyDescent="0.2">
      <c r="A39" s="35" t="s">
        <v>266</v>
      </c>
    </row>
    <row r="42" spans="1:20" x14ac:dyDescent="0.2">
      <c r="A42" s="37" t="s">
        <v>63</v>
      </c>
    </row>
    <row r="43" spans="1:20" x14ac:dyDescent="0.2">
      <c r="A43" s="37" t="s">
        <v>183</v>
      </c>
    </row>
  </sheetData>
  <mergeCells count="18">
    <mergeCell ref="C4:D4"/>
    <mergeCell ref="D8:H8"/>
    <mergeCell ref="C5:D5"/>
    <mergeCell ref="C7:G7"/>
    <mergeCell ref="B16:N17"/>
    <mergeCell ref="C6:D6"/>
    <mergeCell ref="D10:L10"/>
    <mergeCell ref="G32:H32"/>
    <mergeCell ref="G33:H33"/>
    <mergeCell ref="G34:H34"/>
    <mergeCell ref="D9:L9"/>
    <mergeCell ref="A28:D28"/>
    <mergeCell ref="J19:K19"/>
    <mergeCell ref="G28:H28"/>
    <mergeCell ref="G29:H29"/>
    <mergeCell ref="G30:H30"/>
    <mergeCell ref="G31:H31"/>
    <mergeCell ref="L19:N24"/>
  </mergeCells>
  <pageMargins left="0.42" right="0.34" top="0.75" bottom="0.75" header="0.3" footer="0.3"/>
  <pageSetup scale="7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K222"/>
  <sheetViews>
    <sheetView showGridLines="0" topLeftCell="C1" zoomScaleNormal="100" workbookViewId="0">
      <selection activeCell="R31" sqref="R31"/>
    </sheetView>
  </sheetViews>
  <sheetFormatPr defaultRowHeight="11.25" x14ac:dyDescent="0.2"/>
  <cols>
    <col min="1" max="1" width="25.83203125" customWidth="1"/>
    <col min="2" max="2" width="23" customWidth="1"/>
    <col min="3" max="3" width="13.6640625" style="4" customWidth="1"/>
    <col min="4" max="4" width="15.1640625" style="5" customWidth="1"/>
    <col min="5" max="5" width="13.33203125" style="3" customWidth="1"/>
    <col min="6" max="6" width="15.33203125" customWidth="1"/>
    <col min="7" max="7" width="14.6640625" customWidth="1"/>
    <col min="8" max="8" width="3.6640625" customWidth="1"/>
    <col min="9" max="9" width="12" customWidth="1"/>
    <col min="10" max="10" width="14.1640625" customWidth="1"/>
    <col min="11" max="11" width="4.1640625" customWidth="1"/>
  </cols>
  <sheetData>
    <row r="1" spans="1:11" ht="12.75" x14ac:dyDescent="0.2">
      <c r="A1" s="48" t="s">
        <v>169</v>
      </c>
      <c r="B1" s="43"/>
      <c r="C1" s="112"/>
      <c r="D1" s="88"/>
      <c r="E1" s="113"/>
      <c r="F1" s="43"/>
      <c r="G1" s="43"/>
      <c r="H1" s="43"/>
      <c r="I1" s="43"/>
      <c r="J1" s="43"/>
      <c r="K1" s="43"/>
    </row>
    <row r="2" spans="1:11" ht="12" x14ac:dyDescent="0.2">
      <c r="A2" s="21"/>
    </row>
    <row r="3" spans="1:11" ht="12.75" x14ac:dyDescent="0.2">
      <c r="A3" s="7" t="s">
        <v>2</v>
      </c>
      <c r="B3" s="8"/>
      <c r="C3" s="9"/>
      <c r="D3" s="10"/>
      <c r="E3" s="11"/>
      <c r="F3" s="8"/>
      <c r="G3" s="8"/>
      <c r="H3" s="8"/>
      <c r="I3" s="8"/>
      <c r="J3" s="8"/>
    </row>
    <row r="4" spans="1:11" s="12" customFormat="1" x14ac:dyDescent="0.2">
      <c r="A4" s="12" t="s">
        <v>13</v>
      </c>
      <c r="C4" s="13"/>
      <c r="D4" s="14"/>
      <c r="E4" s="15"/>
      <c r="K4" s="22"/>
    </row>
    <row r="5" spans="1:11" s="12" customFormat="1" x14ac:dyDescent="0.2">
      <c r="A5" s="12" t="s">
        <v>64</v>
      </c>
      <c r="C5" s="13"/>
      <c r="D5" s="14"/>
      <c r="E5" s="15"/>
    </row>
    <row r="6" spans="1:11" s="12" customFormat="1" x14ac:dyDescent="0.2">
      <c r="A6" s="12" t="s">
        <v>65</v>
      </c>
      <c r="C6" s="13"/>
      <c r="D6" s="14"/>
      <c r="E6" s="15"/>
    </row>
    <row r="7" spans="1:11" s="116" customFormat="1" x14ac:dyDescent="0.2">
      <c r="A7" s="116" t="s">
        <v>172</v>
      </c>
      <c r="C7" s="117"/>
      <c r="D7" s="118"/>
      <c r="E7" s="119"/>
    </row>
    <row r="8" spans="1:11" s="116" customFormat="1" x14ac:dyDescent="0.2">
      <c r="A8" s="120" t="s">
        <v>173</v>
      </c>
      <c r="C8" s="117"/>
      <c r="D8" s="118"/>
      <c r="E8" s="119"/>
    </row>
    <row r="9" spans="1:11" s="116" customFormat="1" x14ac:dyDescent="0.2">
      <c r="A9" s="120" t="s">
        <v>174</v>
      </c>
      <c r="C9" s="117"/>
      <c r="D9" s="118"/>
      <c r="E9" s="119"/>
    </row>
    <row r="10" spans="1:11" s="116" customFormat="1" ht="15.75" customHeight="1" x14ac:dyDescent="0.2">
      <c r="A10" s="120" t="s">
        <v>181</v>
      </c>
      <c r="C10" s="117"/>
      <c r="D10" s="118"/>
      <c r="E10" s="119"/>
    </row>
    <row r="11" spans="1:11" ht="12.75" x14ac:dyDescent="0.2">
      <c r="A11" s="67"/>
      <c r="C11" s="252" t="s">
        <v>290</v>
      </c>
      <c r="I11" s="252" t="s">
        <v>291</v>
      </c>
    </row>
    <row r="12" spans="1:11" s="1" customFormat="1" ht="36" customHeight="1" x14ac:dyDescent="0.2">
      <c r="A12" s="50" t="s">
        <v>12</v>
      </c>
      <c r="B12" s="52" t="s">
        <v>66</v>
      </c>
      <c r="C12" s="51" t="s">
        <v>177</v>
      </c>
      <c r="D12" s="51" t="s">
        <v>175</v>
      </c>
      <c r="E12" s="53" t="s">
        <v>62</v>
      </c>
      <c r="F12" s="52" t="s">
        <v>0</v>
      </c>
      <c r="G12" s="52" t="s">
        <v>179</v>
      </c>
      <c r="I12" s="52" t="s">
        <v>239</v>
      </c>
      <c r="J12" s="52" t="s">
        <v>106</v>
      </c>
    </row>
    <row r="13" spans="1:11" s="1" customFormat="1" ht="15.75" customHeight="1" x14ac:dyDescent="0.2">
      <c r="A13" s="96"/>
      <c r="B13" s="97"/>
      <c r="C13" s="98" t="s">
        <v>121</v>
      </c>
      <c r="D13" s="192" t="s">
        <v>104</v>
      </c>
      <c r="E13" s="99"/>
      <c r="F13" s="97"/>
      <c r="G13" s="97"/>
      <c r="H13" s="99"/>
      <c r="I13" s="99"/>
      <c r="J13" s="97"/>
    </row>
    <row r="14" spans="1:11" x14ac:dyDescent="0.2">
      <c r="A14" s="164" t="s">
        <v>3</v>
      </c>
      <c r="B14" s="164" t="s">
        <v>104</v>
      </c>
      <c r="C14" s="186">
        <v>0.1</v>
      </c>
      <c r="D14" s="187">
        <v>65008</v>
      </c>
      <c r="E14" s="188">
        <v>0.48003368652186662</v>
      </c>
      <c r="F14" s="133">
        <f>(D14*(1+E14))</f>
        <v>96214.029893413506</v>
      </c>
      <c r="G14" s="133">
        <f>C14*F14</f>
        <v>9621.4029893413517</v>
      </c>
      <c r="I14" s="191">
        <v>1706</v>
      </c>
      <c r="J14" s="211">
        <f>ROUND(C14*I14,0)</f>
        <v>171</v>
      </c>
      <c r="K14" s="23"/>
    </row>
    <row r="15" spans="1:11" x14ac:dyDescent="0.2">
      <c r="A15" s="164" t="s">
        <v>4</v>
      </c>
      <c r="B15" s="164" t="s">
        <v>104</v>
      </c>
      <c r="C15" s="189">
        <v>0.2</v>
      </c>
      <c r="D15" s="190">
        <v>60000</v>
      </c>
      <c r="E15" s="188">
        <v>0.36923892623983945</v>
      </c>
      <c r="F15" s="134">
        <f t="shared" ref="F15:F27" si="0">(D15*(1+E15))</f>
        <v>82154.335574390367</v>
      </c>
      <c r="G15" s="135">
        <f>C15*F15</f>
        <v>16430.867114878074</v>
      </c>
      <c r="I15" s="191">
        <v>1706</v>
      </c>
      <c r="J15" s="211">
        <f t="shared" ref="J15:J27" si="1">ROUND(C15*I15,0)</f>
        <v>341</v>
      </c>
      <c r="K15" s="89"/>
    </row>
    <row r="16" spans="1:11" x14ac:dyDescent="0.2">
      <c r="A16" s="164" t="s">
        <v>67</v>
      </c>
      <c r="B16" s="164" t="s">
        <v>104</v>
      </c>
      <c r="C16" s="189">
        <v>1</v>
      </c>
      <c r="D16" s="190">
        <v>87123.04</v>
      </c>
      <c r="E16" s="188">
        <v>0.32217344573834888</v>
      </c>
      <c r="F16" s="134">
        <f t="shared" si="0"/>
        <v>115191.76999999999</v>
      </c>
      <c r="G16" s="135">
        <f t="shared" ref="G16:G27" si="2">C16*F16</f>
        <v>115191.76999999999</v>
      </c>
      <c r="I16" s="191">
        <v>1706</v>
      </c>
      <c r="J16" s="211">
        <f t="shared" si="1"/>
        <v>1706</v>
      </c>
      <c r="K16" s="89"/>
    </row>
    <row r="17" spans="1:11" x14ac:dyDescent="0.2">
      <c r="A17" s="164" t="s">
        <v>23</v>
      </c>
      <c r="B17" s="164" t="s">
        <v>104</v>
      </c>
      <c r="C17" s="189">
        <v>1</v>
      </c>
      <c r="D17" s="190">
        <v>68220</v>
      </c>
      <c r="E17" s="188">
        <v>0.36230856053943122</v>
      </c>
      <c r="F17" s="134">
        <f t="shared" si="0"/>
        <v>92936.689999999988</v>
      </c>
      <c r="G17" s="135">
        <f t="shared" si="2"/>
        <v>92936.689999999988</v>
      </c>
      <c r="I17" s="191">
        <v>1706</v>
      </c>
      <c r="J17" s="211">
        <f t="shared" si="1"/>
        <v>1706</v>
      </c>
      <c r="K17" s="89"/>
    </row>
    <row r="18" spans="1:11" x14ac:dyDescent="0.2">
      <c r="A18" s="164" t="s">
        <v>24</v>
      </c>
      <c r="B18" s="164" t="s">
        <v>104</v>
      </c>
      <c r="C18" s="189">
        <v>1</v>
      </c>
      <c r="D18" s="190">
        <v>72207.34</v>
      </c>
      <c r="E18" s="188">
        <v>0.35183653074604326</v>
      </c>
      <c r="F18" s="134">
        <f t="shared" si="0"/>
        <v>97612.51999999999</v>
      </c>
      <c r="G18" s="135">
        <f t="shared" si="2"/>
        <v>97612.51999999999</v>
      </c>
      <c r="I18" s="191">
        <v>1706</v>
      </c>
      <c r="J18" s="211">
        <f t="shared" si="1"/>
        <v>1706</v>
      </c>
      <c r="K18" s="89"/>
    </row>
    <row r="19" spans="1:11" x14ac:dyDescent="0.2">
      <c r="A19" s="164" t="s">
        <v>68</v>
      </c>
      <c r="B19" s="164" t="s">
        <v>104</v>
      </c>
      <c r="C19" s="189">
        <v>1</v>
      </c>
      <c r="D19" s="190">
        <v>72020.039999999994</v>
      </c>
      <c r="E19" s="188">
        <v>0.35360713490300755</v>
      </c>
      <c r="F19" s="134">
        <f t="shared" si="0"/>
        <v>97486.84</v>
      </c>
      <c r="G19" s="135">
        <f t="shared" si="2"/>
        <v>97486.84</v>
      </c>
      <c r="I19" s="191">
        <v>1706</v>
      </c>
      <c r="J19" s="211">
        <f t="shared" si="1"/>
        <v>1706</v>
      </c>
      <c r="K19" s="89"/>
    </row>
    <row r="20" spans="1:11" x14ac:dyDescent="0.2">
      <c r="A20" s="164" t="s">
        <v>69</v>
      </c>
      <c r="B20" s="164" t="s">
        <v>104</v>
      </c>
      <c r="C20" s="189">
        <v>1</v>
      </c>
      <c r="D20" s="190">
        <v>40235</v>
      </c>
      <c r="E20" s="188">
        <v>0.33841015207082858</v>
      </c>
      <c r="F20" s="134">
        <f t="shared" si="0"/>
        <v>53850.932468569787</v>
      </c>
      <c r="G20" s="135">
        <f t="shared" si="2"/>
        <v>53850.932468569787</v>
      </c>
      <c r="I20" s="191">
        <v>1706</v>
      </c>
      <c r="J20" s="211">
        <f t="shared" si="1"/>
        <v>1706</v>
      </c>
      <c r="K20" s="89"/>
    </row>
    <row r="21" spans="1:11" x14ac:dyDescent="0.2">
      <c r="A21" s="164" t="s">
        <v>70</v>
      </c>
      <c r="B21" s="164" t="s">
        <v>104</v>
      </c>
      <c r="C21" s="189">
        <v>0.75</v>
      </c>
      <c r="D21" s="190">
        <v>60000</v>
      </c>
      <c r="E21" s="188">
        <v>0.33841015207082858</v>
      </c>
      <c r="F21" s="134">
        <f t="shared" si="0"/>
        <v>80304.609124249706</v>
      </c>
      <c r="G21" s="135">
        <f t="shared" si="2"/>
        <v>60228.456843187276</v>
      </c>
      <c r="I21" s="191">
        <v>1706</v>
      </c>
      <c r="J21" s="211">
        <f t="shared" si="1"/>
        <v>1280</v>
      </c>
      <c r="K21" s="89"/>
    </row>
    <row r="22" spans="1:11" x14ac:dyDescent="0.2">
      <c r="A22" s="164" t="s">
        <v>71</v>
      </c>
      <c r="B22" s="164" t="s">
        <v>104</v>
      </c>
      <c r="C22" s="189">
        <v>0.9</v>
      </c>
      <c r="D22" s="190">
        <v>73999.989999999991</v>
      </c>
      <c r="E22" s="188">
        <v>0.35065099333121535</v>
      </c>
      <c r="F22" s="134">
        <f t="shared" si="0"/>
        <v>99948.159999999989</v>
      </c>
      <c r="G22" s="135">
        <f t="shared" si="2"/>
        <v>89953.343999999997</v>
      </c>
      <c r="I22" s="191">
        <v>1706</v>
      </c>
      <c r="J22" s="211">
        <f t="shared" si="1"/>
        <v>1535</v>
      </c>
      <c r="K22" s="89"/>
    </row>
    <row r="23" spans="1:11" x14ac:dyDescent="0.2">
      <c r="A23" s="164" t="s">
        <v>72</v>
      </c>
      <c r="B23" s="164" t="s">
        <v>104</v>
      </c>
      <c r="C23" s="189">
        <v>1</v>
      </c>
      <c r="D23" s="190">
        <v>75270</v>
      </c>
      <c r="E23" s="188">
        <v>0.34663796997475754</v>
      </c>
      <c r="F23" s="134">
        <f t="shared" si="0"/>
        <v>101361.44</v>
      </c>
      <c r="G23" s="135">
        <f t="shared" si="2"/>
        <v>101361.44</v>
      </c>
      <c r="I23" s="191">
        <v>1706</v>
      </c>
      <c r="J23" s="211">
        <f t="shared" si="1"/>
        <v>1706</v>
      </c>
      <c r="K23" s="89"/>
    </row>
    <row r="24" spans="1:11" x14ac:dyDescent="0.2">
      <c r="A24" s="164" t="s">
        <v>73</v>
      </c>
      <c r="B24" s="164" t="s">
        <v>104</v>
      </c>
      <c r="C24" s="189">
        <v>1</v>
      </c>
      <c r="D24" s="190">
        <v>56689.78</v>
      </c>
      <c r="E24" s="188">
        <v>0.38859808593365508</v>
      </c>
      <c r="F24" s="134">
        <f t="shared" si="0"/>
        <v>78719.319999999992</v>
      </c>
      <c r="G24" s="135">
        <f t="shared" si="2"/>
        <v>78719.319999999992</v>
      </c>
      <c r="I24" s="191">
        <v>1706</v>
      </c>
      <c r="J24" s="211">
        <f t="shared" si="1"/>
        <v>1706</v>
      </c>
      <c r="K24" s="89"/>
    </row>
    <row r="25" spans="1:11" x14ac:dyDescent="0.2">
      <c r="A25" s="164" t="s">
        <v>74</v>
      </c>
      <c r="B25" s="164" t="s">
        <v>104</v>
      </c>
      <c r="C25" s="189">
        <v>1</v>
      </c>
      <c r="D25" s="190">
        <v>46500</v>
      </c>
      <c r="E25" s="188">
        <v>0.44052623655913981</v>
      </c>
      <c r="F25" s="134">
        <f t="shared" si="0"/>
        <v>66984.47</v>
      </c>
      <c r="G25" s="135">
        <f t="shared" si="2"/>
        <v>66984.47</v>
      </c>
      <c r="I25" s="191">
        <v>1706</v>
      </c>
      <c r="J25" s="211">
        <f t="shared" si="1"/>
        <v>1706</v>
      </c>
      <c r="K25" s="89"/>
    </row>
    <row r="26" spans="1:11" x14ac:dyDescent="0.2">
      <c r="A26" s="164" t="s">
        <v>75</v>
      </c>
      <c r="B26" s="164" t="s">
        <v>104</v>
      </c>
      <c r="C26" s="189">
        <v>1</v>
      </c>
      <c r="D26" s="190">
        <v>45067</v>
      </c>
      <c r="E26" s="188">
        <v>0.3518</v>
      </c>
      <c r="F26" s="134">
        <f t="shared" si="0"/>
        <v>60921.570599999992</v>
      </c>
      <c r="G26" s="135">
        <f t="shared" si="2"/>
        <v>60921.570599999992</v>
      </c>
      <c r="I26" s="191">
        <v>1706</v>
      </c>
      <c r="J26" s="211">
        <f t="shared" si="1"/>
        <v>1706</v>
      </c>
      <c r="K26" s="89"/>
    </row>
    <row r="27" spans="1:11" x14ac:dyDescent="0.2">
      <c r="A27" s="164" t="s">
        <v>76</v>
      </c>
      <c r="B27" s="164" t="s">
        <v>104</v>
      </c>
      <c r="C27" s="189">
        <v>1</v>
      </c>
      <c r="D27" s="190">
        <v>62370</v>
      </c>
      <c r="E27" s="188">
        <v>0.37689161455828124</v>
      </c>
      <c r="F27" s="134">
        <f t="shared" si="0"/>
        <v>85876.73</v>
      </c>
      <c r="G27" s="135">
        <f t="shared" si="2"/>
        <v>85876.73</v>
      </c>
      <c r="I27" s="191">
        <v>1706</v>
      </c>
      <c r="J27" s="211">
        <f t="shared" si="1"/>
        <v>1706</v>
      </c>
      <c r="K27" s="89"/>
    </row>
    <row r="28" spans="1:11" x14ac:dyDescent="0.2">
      <c r="A28" s="164"/>
      <c r="B28" s="164"/>
      <c r="C28" s="189"/>
      <c r="D28" s="190"/>
      <c r="E28" s="188"/>
      <c r="F28" s="134"/>
      <c r="G28" s="135"/>
      <c r="I28" s="191"/>
      <c r="J28" s="211"/>
      <c r="K28" s="89"/>
    </row>
    <row r="29" spans="1:11" x14ac:dyDescent="0.2">
      <c r="B29" s="81"/>
      <c r="C29" s="103" t="s">
        <v>138</v>
      </c>
      <c r="D29" s="137">
        <f>SUM(D14:D28)</f>
        <v>884710.19</v>
      </c>
      <c r="E29" s="26"/>
      <c r="F29" s="136">
        <f>SUM(F14:F28)</f>
        <v>1209563.4176606233</v>
      </c>
      <c r="G29" s="137">
        <f>SUM(G14:G28)</f>
        <v>1027176.3540159763</v>
      </c>
      <c r="J29" s="138">
        <f>SUM(J14:J28)</f>
        <v>20387</v>
      </c>
      <c r="K29" s="92"/>
    </row>
    <row r="30" spans="1:11" x14ac:dyDescent="0.2">
      <c r="B30" s="81"/>
      <c r="C30" s="13"/>
      <c r="D30" s="85"/>
      <c r="E30" s="26"/>
      <c r="F30" s="86"/>
      <c r="G30" s="85"/>
      <c r="J30" s="139"/>
      <c r="K30" s="92"/>
    </row>
    <row r="31" spans="1:11" x14ac:dyDescent="0.2">
      <c r="B31" s="81"/>
      <c r="C31" s="13"/>
      <c r="D31" s="86"/>
      <c r="E31"/>
      <c r="G31" s="90" t="s">
        <v>141</v>
      </c>
      <c r="J31" s="140">
        <f>G29</f>
        <v>1027176.3540159763</v>
      </c>
    </row>
    <row r="32" spans="1:11" x14ac:dyDescent="0.2">
      <c r="B32" s="81"/>
      <c r="C32" s="13"/>
      <c r="D32" s="86"/>
      <c r="E32" s="85"/>
      <c r="G32" s="91" t="s">
        <v>109</v>
      </c>
      <c r="J32" s="141">
        <f>J29</f>
        <v>20387</v>
      </c>
    </row>
    <row r="33" spans="1:11" ht="12" thickBot="1" x14ac:dyDescent="0.25">
      <c r="B33" s="81"/>
      <c r="C33" s="13"/>
      <c r="D33" s="86"/>
      <c r="E33" s="85"/>
      <c r="G33" s="91" t="s">
        <v>110</v>
      </c>
      <c r="J33" s="142">
        <f>IFERROR(J31/J32,0)</f>
        <v>50.383889440132258</v>
      </c>
      <c r="K33" s="22" t="s">
        <v>253</v>
      </c>
    </row>
    <row r="34" spans="1:11" ht="12" thickTop="1" x14ac:dyDescent="0.2">
      <c r="B34" s="81"/>
      <c r="C34" s="13"/>
      <c r="D34" s="86"/>
      <c r="E34" s="85"/>
      <c r="G34" s="91"/>
      <c r="K34" s="22"/>
    </row>
    <row r="35" spans="1:11" ht="16.5" customHeight="1" x14ac:dyDescent="0.2">
      <c r="B35" s="81"/>
      <c r="C35" s="13"/>
      <c r="D35" s="86"/>
      <c r="E35" s="85"/>
      <c r="G35" s="91"/>
      <c r="J35" s="95"/>
      <c r="K35" s="22"/>
    </row>
    <row r="36" spans="1:11" x14ac:dyDescent="0.2">
      <c r="B36" s="81"/>
      <c r="C36" s="252" t="s">
        <v>290</v>
      </c>
      <c r="I36" s="252" t="s">
        <v>291</v>
      </c>
      <c r="J36" s="95"/>
      <c r="K36" s="22"/>
    </row>
    <row r="37" spans="1:11" ht="45" x14ac:dyDescent="0.2">
      <c r="A37" s="50" t="s">
        <v>12</v>
      </c>
      <c r="B37" s="52" t="s">
        <v>66</v>
      </c>
      <c r="C37" s="51" t="s">
        <v>177</v>
      </c>
      <c r="D37" s="51" t="s">
        <v>175</v>
      </c>
      <c r="E37" s="53" t="s">
        <v>62</v>
      </c>
      <c r="F37" s="52" t="s">
        <v>0</v>
      </c>
      <c r="G37" s="52" t="s">
        <v>179</v>
      </c>
      <c r="H37" s="1"/>
      <c r="I37" s="52" t="s">
        <v>239</v>
      </c>
      <c r="J37" s="52" t="s">
        <v>106</v>
      </c>
      <c r="K37" s="22"/>
    </row>
    <row r="38" spans="1:11" s="1" customFormat="1" x14ac:dyDescent="0.2">
      <c r="A38" s="96"/>
      <c r="B38" s="97"/>
      <c r="C38" s="98" t="s">
        <v>121</v>
      </c>
      <c r="D38" s="193" t="s">
        <v>111</v>
      </c>
      <c r="E38" s="99"/>
      <c r="F38" s="97"/>
      <c r="G38" s="97"/>
      <c r="H38" s="99"/>
      <c r="I38" s="99"/>
      <c r="J38" s="97"/>
    </row>
    <row r="39" spans="1:11" x14ac:dyDescent="0.2">
      <c r="A39" s="164" t="s">
        <v>77</v>
      </c>
      <c r="B39" s="164" t="s">
        <v>111</v>
      </c>
      <c r="C39" s="189">
        <v>1</v>
      </c>
      <c r="D39" s="187">
        <v>40457</v>
      </c>
      <c r="E39" s="188">
        <v>0.38257340242653226</v>
      </c>
      <c r="F39" s="133">
        <f>(D39*(1+E39))</f>
        <v>55934.772141970221</v>
      </c>
      <c r="G39" s="133">
        <f>C39*F39</f>
        <v>55934.772141970221</v>
      </c>
      <c r="I39" s="191">
        <v>1706</v>
      </c>
      <c r="J39" s="211">
        <f t="shared" ref="J39:J40" si="3">ROUND(C39*I39,0)</f>
        <v>1706</v>
      </c>
    </row>
    <row r="40" spans="1:11" x14ac:dyDescent="0.2">
      <c r="A40" s="164" t="s">
        <v>78</v>
      </c>
      <c r="B40" s="164" t="s">
        <v>111</v>
      </c>
      <c r="C40" s="189">
        <v>1</v>
      </c>
      <c r="D40" s="190">
        <v>53408</v>
      </c>
      <c r="E40" s="188">
        <v>0.35143987972894325</v>
      </c>
      <c r="F40" s="134">
        <f t="shared" ref="F40" si="4">(D40*(1+E40))</f>
        <v>72177.701096563411</v>
      </c>
      <c r="G40" s="135">
        <f>C40*F40</f>
        <v>72177.701096563411</v>
      </c>
      <c r="I40" s="191">
        <v>1706</v>
      </c>
      <c r="J40" s="211">
        <f t="shared" si="3"/>
        <v>1706</v>
      </c>
    </row>
    <row r="41" spans="1:11" x14ac:dyDescent="0.2">
      <c r="A41" s="164"/>
      <c r="B41" s="164"/>
      <c r="C41" s="189"/>
      <c r="D41" s="190"/>
      <c r="E41" s="188"/>
      <c r="F41" s="134"/>
      <c r="G41" s="135"/>
      <c r="I41" s="191"/>
      <c r="J41" s="211"/>
    </row>
    <row r="42" spans="1:11" x14ac:dyDescent="0.2">
      <c r="B42" s="81"/>
      <c r="C42" s="103" t="s">
        <v>138</v>
      </c>
      <c r="D42" s="137">
        <f>SUM(D39:D41)</f>
        <v>93865</v>
      </c>
      <c r="E42" s="26"/>
      <c r="F42" s="136">
        <f t="shared" ref="F42:G42" si="5">SUM(F39:F41)</f>
        <v>128112.47323853362</v>
      </c>
      <c r="G42" s="137">
        <f t="shared" si="5"/>
        <v>128112.47323853362</v>
      </c>
      <c r="J42" s="143">
        <f>SUM(J39:J41)</f>
        <v>3412</v>
      </c>
      <c r="K42" s="92"/>
    </row>
    <row r="43" spans="1:11" x14ac:dyDescent="0.2">
      <c r="B43" s="81"/>
      <c r="C43" s="13"/>
      <c r="D43" s="85"/>
      <c r="E43" s="26"/>
      <c r="F43" s="86"/>
      <c r="G43" s="85"/>
      <c r="J43" s="139"/>
      <c r="K43" s="92"/>
    </row>
    <row r="44" spans="1:11" x14ac:dyDescent="0.2">
      <c r="B44" s="81"/>
      <c r="C44" s="13"/>
      <c r="D44" s="86"/>
      <c r="E44"/>
      <c r="G44" s="90" t="s">
        <v>141</v>
      </c>
      <c r="J44" s="140">
        <f>G42</f>
        <v>128112.47323853362</v>
      </c>
    </row>
    <row r="45" spans="1:11" x14ac:dyDescent="0.2">
      <c r="B45" s="81"/>
      <c r="C45" s="13"/>
      <c r="D45" s="86"/>
      <c r="E45" s="85"/>
      <c r="G45" s="91" t="s">
        <v>109</v>
      </c>
      <c r="J45" s="141">
        <f>J42</f>
        <v>3412</v>
      </c>
    </row>
    <row r="46" spans="1:11" ht="12" thickBot="1" x14ac:dyDescent="0.25">
      <c r="B46" s="81"/>
      <c r="C46" s="13"/>
      <c r="D46" s="86"/>
      <c r="E46" s="85"/>
      <c r="G46" s="91" t="s">
        <v>110</v>
      </c>
      <c r="J46" s="142">
        <f>IFERROR(J44/J45,0)</f>
        <v>37.547618182454165</v>
      </c>
      <c r="K46" s="22" t="s">
        <v>253</v>
      </c>
    </row>
    <row r="47" spans="1:11" ht="12" thickTop="1" x14ac:dyDescent="0.2">
      <c r="B47" s="81"/>
      <c r="C47" s="13"/>
      <c r="D47" s="86"/>
      <c r="E47" s="85"/>
      <c r="G47" s="91"/>
      <c r="J47" s="95"/>
      <c r="K47" s="22"/>
    </row>
    <row r="48" spans="1:11" x14ac:dyDescent="0.2">
      <c r="B48" s="81"/>
      <c r="C48" s="13"/>
      <c r="D48" s="82"/>
      <c r="E48" s="26"/>
      <c r="F48" s="80"/>
      <c r="G48" s="12"/>
    </row>
    <row r="49" spans="1:11" ht="16.5" customHeight="1" x14ac:dyDescent="0.2">
      <c r="B49" s="81"/>
      <c r="C49" s="13"/>
      <c r="D49" s="86"/>
      <c r="E49" s="85"/>
      <c r="G49" s="91"/>
      <c r="J49" s="95"/>
      <c r="K49" s="22"/>
    </row>
    <row r="50" spans="1:11" x14ac:dyDescent="0.2">
      <c r="B50" s="81"/>
      <c r="C50" s="252" t="s">
        <v>290</v>
      </c>
      <c r="I50" s="252" t="s">
        <v>291</v>
      </c>
      <c r="J50" s="95"/>
      <c r="K50" s="22"/>
    </row>
    <row r="51" spans="1:11" ht="45" x14ac:dyDescent="0.2">
      <c r="A51" s="50" t="s">
        <v>12</v>
      </c>
      <c r="B51" s="52" t="s">
        <v>66</v>
      </c>
      <c r="C51" s="51" t="s">
        <v>177</v>
      </c>
      <c r="D51" s="51" t="s">
        <v>175</v>
      </c>
      <c r="E51" s="53" t="s">
        <v>62</v>
      </c>
      <c r="F51" s="52" t="s">
        <v>0</v>
      </c>
      <c r="G51" s="52" t="s">
        <v>179</v>
      </c>
      <c r="H51" s="1"/>
      <c r="I51" s="52" t="s">
        <v>239</v>
      </c>
      <c r="J51" s="52" t="s">
        <v>106</v>
      </c>
      <c r="K51" s="22"/>
    </row>
    <row r="52" spans="1:11" s="1" customFormat="1" x14ac:dyDescent="0.2">
      <c r="A52" s="96"/>
      <c r="B52" s="97"/>
      <c r="C52" s="98" t="s">
        <v>121</v>
      </c>
      <c r="D52" s="193" t="s">
        <v>119</v>
      </c>
      <c r="E52" s="99"/>
      <c r="F52" s="97"/>
      <c r="G52" s="97"/>
      <c r="H52" s="99"/>
      <c r="I52" s="99"/>
      <c r="J52" s="97"/>
    </row>
    <row r="53" spans="1:11" x14ac:dyDescent="0.2">
      <c r="A53" s="164" t="s">
        <v>79</v>
      </c>
      <c r="B53" s="164" t="s">
        <v>119</v>
      </c>
      <c r="C53" s="189">
        <v>1</v>
      </c>
      <c r="D53" s="187">
        <v>61657.45</v>
      </c>
      <c r="E53" s="188">
        <v>0.37036157025631128</v>
      </c>
      <c r="F53" s="133">
        <f t="shared" ref="F53:F65" si="6">(D53*(1+E53))</f>
        <v>84492.999999999985</v>
      </c>
      <c r="G53" s="133">
        <f>C53*F53</f>
        <v>84492.999999999985</v>
      </c>
      <c r="I53" s="191">
        <v>1706</v>
      </c>
      <c r="J53" s="211">
        <f t="shared" ref="J53:J65" si="7">ROUND(C53*I53,0)</f>
        <v>1706</v>
      </c>
    </row>
    <row r="54" spans="1:11" x14ac:dyDescent="0.2">
      <c r="A54" s="164" t="s">
        <v>80</v>
      </c>
      <c r="B54" s="164" t="s">
        <v>119</v>
      </c>
      <c r="C54" s="189">
        <v>1</v>
      </c>
      <c r="D54" s="190">
        <v>32156</v>
      </c>
      <c r="E54" s="188">
        <v>0.28218335857463117</v>
      </c>
      <c r="F54" s="134">
        <f t="shared" si="6"/>
        <v>41229.888078325843</v>
      </c>
      <c r="G54" s="135">
        <f>C54*F54</f>
        <v>41229.888078325843</v>
      </c>
      <c r="I54" s="191">
        <v>1706</v>
      </c>
      <c r="J54" s="211">
        <f t="shared" si="7"/>
        <v>1706</v>
      </c>
    </row>
    <row r="55" spans="1:11" x14ac:dyDescent="0.2">
      <c r="A55" s="164" t="s">
        <v>81</v>
      </c>
      <c r="B55" s="164" t="s">
        <v>119</v>
      </c>
      <c r="C55" s="189">
        <v>1</v>
      </c>
      <c r="D55" s="190">
        <v>35159</v>
      </c>
      <c r="E55" s="188">
        <v>0.3361878093413409</v>
      </c>
      <c r="F55" s="134">
        <f t="shared" si="6"/>
        <v>46979.027188632201</v>
      </c>
      <c r="G55" s="135">
        <f t="shared" ref="G55:G65" si="8">C55*F55</f>
        <v>46979.027188632201</v>
      </c>
      <c r="I55" s="191">
        <v>1706</v>
      </c>
      <c r="J55" s="211">
        <f t="shared" si="7"/>
        <v>1706</v>
      </c>
    </row>
    <row r="56" spans="1:11" x14ac:dyDescent="0.2">
      <c r="A56" s="164" t="s">
        <v>82</v>
      </c>
      <c r="B56" s="164" t="s">
        <v>119</v>
      </c>
      <c r="C56" s="189">
        <v>1</v>
      </c>
      <c r="D56" s="190">
        <v>56811</v>
      </c>
      <c r="E56" s="188">
        <v>0.34978059713268356</v>
      </c>
      <c r="F56" s="134">
        <f t="shared" si="6"/>
        <v>76682.385503704878</v>
      </c>
      <c r="G56" s="135">
        <f t="shared" si="8"/>
        <v>76682.385503704878</v>
      </c>
      <c r="I56" s="191">
        <v>1706</v>
      </c>
      <c r="J56" s="211">
        <f t="shared" si="7"/>
        <v>1706</v>
      </c>
    </row>
    <row r="57" spans="1:11" x14ac:dyDescent="0.2">
      <c r="A57" s="164" t="s">
        <v>83</v>
      </c>
      <c r="B57" s="164" t="s">
        <v>119</v>
      </c>
      <c r="C57" s="189">
        <v>1</v>
      </c>
      <c r="D57" s="190">
        <v>61265</v>
      </c>
      <c r="E57" s="188">
        <v>0.36318335792563811</v>
      </c>
      <c r="F57" s="134">
        <f t="shared" si="6"/>
        <v>83515.42842331421</v>
      </c>
      <c r="G57" s="135">
        <f t="shared" si="8"/>
        <v>83515.42842331421</v>
      </c>
      <c r="I57" s="191">
        <v>1706</v>
      </c>
      <c r="J57" s="211">
        <f t="shared" si="7"/>
        <v>1706</v>
      </c>
    </row>
    <row r="58" spans="1:11" x14ac:dyDescent="0.2">
      <c r="A58" s="164" t="s">
        <v>84</v>
      </c>
      <c r="B58" s="164" t="s">
        <v>119</v>
      </c>
      <c r="C58" s="189">
        <v>1</v>
      </c>
      <c r="D58" s="190">
        <v>61435.77</v>
      </c>
      <c r="E58" s="188">
        <v>0.38013831355902267</v>
      </c>
      <c r="F58" s="134">
        <f t="shared" si="6"/>
        <v>84789.859999999986</v>
      </c>
      <c r="G58" s="135">
        <f t="shared" si="8"/>
        <v>84789.859999999986</v>
      </c>
      <c r="I58" s="191">
        <v>1706</v>
      </c>
      <c r="J58" s="211">
        <f t="shared" si="7"/>
        <v>1706</v>
      </c>
    </row>
    <row r="59" spans="1:11" x14ac:dyDescent="0.2">
      <c r="A59" s="164" t="s">
        <v>85</v>
      </c>
      <c r="B59" s="164" t="s">
        <v>119</v>
      </c>
      <c r="C59" s="189">
        <v>1</v>
      </c>
      <c r="D59" s="190">
        <v>62684.7</v>
      </c>
      <c r="E59" s="188">
        <v>0.3787394691208541</v>
      </c>
      <c r="F59" s="134">
        <f t="shared" si="6"/>
        <v>86425.87</v>
      </c>
      <c r="G59" s="135">
        <f t="shared" si="8"/>
        <v>86425.87</v>
      </c>
      <c r="I59" s="191">
        <v>1706</v>
      </c>
      <c r="J59" s="211">
        <f t="shared" si="7"/>
        <v>1706</v>
      </c>
    </row>
    <row r="60" spans="1:11" x14ac:dyDescent="0.2">
      <c r="A60" s="164" t="s">
        <v>86</v>
      </c>
      <c r="B60" s="164" t="s">
        <v>119</v>
      </c>
      <c r="C60" s="189">
        <v>1</v>
      </c>
      <c r="D60" s="190">
        <v>44450.71</v>
      </c>
      <c r="E60" s="188">
        <v>0.35729688007233179</v>
      </c>
      <c r="F60" s="134">
        <f t="shared" si="6"/>
        <v>60332.81</v>
      </c>
      <c r="G60" s="135">
        <f t="shared" si="8"/>
        <v>60332.81</v>
      </c>
      <c r="I60" s="191">
        <v>1706</v>
      </c>
      <c r="J60" s="211">
        <f t="shared" si="7"/>
        <v>1706</v>
      </c>
    </row>
    <row r="61" spans="1:11" x14ac:dyDescent="0.2">
      <c r="A61" s="164" t="s">
        <v>87</v>
      </c>
      <c r="B61" s="164" t="s">
        <v>119</v>
      </c>
      <c r="C61" s="189">
        <v>1</v>
      </c>
      <c r="D61" s="190">
        <v>67682.91</v>
      </c>
      <c r="E61" s="188">
        <v>0.35302087336374866</v>
      </c>
      <c r="F61" s="134">
        <f t="shared" si="6"/>
        <v>91576.390000000014</v>
      </c>
      <c r="G61" s="135">
        <f t="shared" si="8"/>
        <v>91576.390000000014</v>
      </c>
      <c r="I61" s="191">
        <v>1706</v>
      </c>
      <c r="J61" s="211">
        <f t="shared" si="7"/>
        <v>1706</v>
      </c>
    </row>
    <row r="62" spans="1:11" x14ac:dyDescent="0.2">
      <c r="A62" s="164" t="s">
        <v>88</v>
      </c>
      <c r="B62" s="164" t="s">
        <v>119</v>
      </c>
      <c r="C62" s="189">
        <v>1</v>
      </c>
      <c r="D62" s="190">
        <v>58462</v>
      </c>
      <c r="E62" s="188">
        <v>0.3395696151049622</v>
      </c>
      <c r="F62" s="134">
        <f t="shared" si="6"/>
        <v>78313.918838266298</v>
      </c>
      <c r="G62" s="135">
        <f t="shared" si="8"/>
        <v>78313.918838266298</v>
      </c>
      <c r="I62" s="191">
        <v>1706</v>
      </c>
      <c r="J62" s="211">
        <f t="shared" si="7"/>
        <v>1706</v>
      </c>
    </row>
    <row r="63" spans="1:11" x14ac:dyDescent="0.2">
      <c r="A63" s="164" t="s">
        <v>89</v>
      </c>
      <c r="B63" s="164" t="s">
        <v>119</v>
      </c>
      <c r="C63" s="189">
        <v>1</v>
      </c>
      <c r="D63" s="190">
        <v>46536.73</v>
      </c>
      <c r="E63" s="188">
        <v>0.35869043656483807</v>
      </c>
      <c r="F63" s="134">
        <f t="shared" si="6"/>
        <v>63229.009999999995</v>
      </c>
      <c r="G63" s="135">
        <f t="shared" si="8"/>
        <v>63229.009999999995</v>
      </c>
      <c r="I63" s="191">
        <v>1706</v>
      </c>
      <c r="J63" s="211">
        <f t="shared" si="7"/>
        <v>1706</v>
      </c>
    </row>
    <row r="64" spans="1:11" x14ac:dyDescent="0.2">
      <c r="A64" s="164" t="s">
        <v>90</v>
      </c>
      <c r="B64" s="164" t="s">
        <v>119</v>
      </c>
      <c r="C64" s="189">
        <v>1</v>
      </c>
      <c r="D64" s="190">
        <v>38546</v>
      </c>
      <c r="E64" s="188">
        <v>0.33770789806299989</v>
      </c>
      <c r="F64" s="134">
        <f t="shared" si="6"/>
        <v>51563.288638736398</v>
      </c>
      <c r="G64" s="135">
        <f t="shared" si="8"/>
        <v>51563.288638736398</v>
      </c>
      <c r="I64" s="191">
        <v>1706</v>
      </c>
      <c r="J64" s="211">
        <f t="shared" si="7"/>
        <v>1706</v>
      </c>
    </row>
    <row r="65" spans="1:11" x14ac:dyDescent="0.2">
      <c r="A65" s="164" t="s">
        <v>91</v>
      </c>
      <c r="B65" s="164" t="s">
        <v>119</v>
      </c>
      <c r="C65" s="189">
        <v>1</v>
      </c>
      <c r="D65" s="190">
        <v>39854</v>
      </c>
      <c r="E65" s="188">
        <v>0.28374301598344248</v>
      </c>
      <c r="F65" s="134">
        <f t="shared" si="6"/>
        <v>51162.294159004115</v>
      </c>
      <c r="G65" s="135">
        <f t="shared" si="8"/>
        <v>51162.294159004115</v>
      </c>
      <c r="I65" s="191">
        <v>1706</v>
      </c>
      <c r="J65" s="211">
        <f t="shared" si="7"/>
        <v>1706</v>
      </c>
    </row>
    <row r="66" spans="1:11" x14ac:dyDescent="0.2">
      <c r="A66" s="164"/>
      <c r="B66" s="164"/>
      <c r="C66" s="189"/>
      <c r="D66" s="190"/>
      <c r="E66" s="188"/>
      <c r="F66" s="134"/>
      <c r="G66" s="135"/>
      <c r="I66" s="191"/>
      <c r="J66" s="211"/>
    </row>
    <row r="67" spans="1:11" x14ac:dyDescent="0.2">
      <c r="B67" s="81"/>
      <c r="C67" s="103" t="s">
        <v>138</v>
      </c>
      <c r="D67" s="137">
        <f>SUM(D52:D66)</f>
        <v>666701.27</v>
      </c>
      <c r="E67" s="26"/>
      <c r="F67" s="136">
        <f>SUM(F52:F66)</f>
        <v>900293.17082998389</v>
      </c>
      <c r="G67" s="137">
        <f>SUM(G52:G66)</f>
        <v>900293.17082998389</v>
      </c>
      <c r="J67" s="138">
        <f>SUM(J52:J66)</f>
        <v>22178</v>
      </c>
    </row>
    <row r="68" spans="1:11" x14ac:dyDescent="0.2">
      <c r="B68" s="83"/>
      <c r="C68" s="13"/>
      <c r="D68" s="84"/>
      <c r="E68" s="26"/>
      <c r="F68" s="80"/>
      <c r="G68" s="12"/>
      <c r="J68" s="144"/>
    </row>
    <row r="69" spans="1:11" x14ac:dyDescent="0.2">
      <c r="B69" s="81"/>
      <c r="C69" s="13"/>
      <c r="D69" s="86"/>
      <c r="E69"/>
      <c r="G69" s="90" t="s">
        <v>141</v>
      </c>
      <c r="J69" s="140">
        <f>G67</f>
        <v>900293.17082998389</v>
      </c>
    </row>
    <row r="70" spans="1:11" x14ac:dyDescent="0.2">
      <c r="B70" s="81"/>
      <c r="C70" s="13"/>
      <c r="D70" s="86"/>
      <c r="E70" s="85"/>
      <c r="G70" s="91" t="s">
        <v>109</v>
      </c>
      <c r="J70" s="141">
        <f>J67</f>
        <v>22178</v>
      </c>
    </row>
    <row r="71" spans="1:11" ht="12" thickBot="1" x14ac:dyDescent="0.25">
      <c r="B71" s="81"/>
      <c r="C71" s="13"/>
      <c r="D71" s="86"/>
      <c r="E71" s="85"/>
      <c r="G71" s="91" t="s">
        <v>110</v>
      </c>
      <c r="J71" s="142">
        <f>IFERROR(J69/J70,0)</f>
        <v>40.593974696996298</v>
      </c>
      <c r="K71" s="22" t="s">
        <v>253</v>
      </c>
    </row>
    <row r="72" spans="1:11" ht="12" thickTop="1" x14ac:dyDescent="0.2">
      <c r="B72" s="83"/>
      <c r="C72" s="13"/>
      <c r="D72" s="84"/>
      <c r="E72" s="26"/>
      <c r="F72" s="80"/>
      <c r="G72" s="12"/>
    </row>
    <row r="73" spans="1:11" x14ac:dyDescent="0.2">
      <c r="B73" s="83"/>
      <c r="C73" s="13"/>
      <c r="D73" s="84"/>
      <c r="E73" s="26"/>
      <c r="F73" s="80"/>
      <c r="G73" s="12"/>
    </row>
    <row r="74" spans="1:11" ht="16.5" customHeight="1" x14ac:dyDescent="0.2">
      <c r="B74" s="81"/>
      <c r="C74" s="13"/>
      <c r="D74" s="86"/>
      <c r="E74" s="85"/>
      <c r="G74" s="91"/>
      <c r="J74" s="95"/>
      <c r="K74" s="22"/>
    </row>
    <row r="75" spans="1:11" x14ac:dyDescent="0.2">
      <c r="B75" s="81"/>
      <c r="C75" s="252" t="s">
        <v>290</v>
      </c>
      <c r="I75" s="252" t="s">
        <v>291</v>
      </c>
      <c r="J75" s="95"/>
      <c r="K75" s="22"/>
    </row>
    <row r="76" spans="1:11" ht="45" x14ac:dyDescent="0.2">
      <c r="A76" s="50" t="s">
        <v>12</v>
      </c>
      <c r="B76" s="52" t="s">
        <v>66</v>
      </c>
      <c r="C76" s="51" t="s">
        <v>177</v>
      </c>
      <c r="D76" s="51" t="s">
        <v>175</v>
      </c>
      <c r="E76" s="53" t="s">
        <v>62</v>
      </c>
      <c r="F76" s="52" t="s">
        <v>0</v>
      </c>
      <c r="G76" s="52" t="s">
        <v>179</v>
      </c>
      <c r="H76" s="1"/>
      <c r="I76" s="52" t="s">
        <v>239</v>
      </c>
      <c r="J76" s="52" t="s">
        <v>106</v>
      </c>
      <c r="K76" s="22"/>
    </row>
    <row r="77" spans="1:11" s="1" customFormat="1" x14ac:dyDescent="0.2">
      <c r="A77" s="96"/>
      <c r="B77" s="97"/>
      <c r="C77" s="98" t="s">
        <v>121</v>
      </c>
      <c r="D77" s="193" t="s">
        <v>105</v>
      </c>
      <c r="E77" s="99"/>
      <c r="F77" s="97"/>
      <c r="G77" s="97"/>
      <c r="H77" s="99"/>
      <c r="I77" s="99"/>
      <c r="J77" s="97"/>
    </row>
    <row r="78" spans="1:11" x14ac:dyDescent="0.2">
      <c r="A78" s="164" t="s">
        <v>92</v>
      </c>
      <c r="B78" s="164" t="s">
        <v>105</v>
      </c>
      <c r="C78" s="189">
        <v>1</v>
      </c>
      <c r="D78" s="187">
        <v>77141.03</v>
      </c>
      <c r="E78" s="188">
        <v>0.34196172905650857</v>
      </c>
      <c r="F78" s="133">
        <f t="shared" ref="F78:F85" si="9">(D78*(1+E78))</f>
        <v>103520.30999999998</v>
      </c>
      <c r="G78" s="133">
        <f>C78*F78</f>
        <v>103520.30999999998</v>
      </c>
      <c r="I78" s="191">
        <v>1706</v>
      </c>
      <c r="J78" s="211">
        <f t="shared" ref="J78:J85" si="10">ROUND(C78*I78,0)</f>
        <v>1706</v>
      </c>
    </row>
    <row r="79" spans="1:11" x14ac:dyDescent="0.2">
      <c r="A79" s="164" t="s">
        <v>93</v>
      </c>
      <c r="B79" s="164" t="s">
        <v>105</v>
      </c>
      <c r="C79" s="189">
        <v>1</v>
      </c>
      <c r="D79" s="190">
        <v>98246.209999999992</v>
      </c>
      <c r="E79" s="188">
        <v>0.30614483754640515</v>
      </c>
      <c r="F79" s="134">
        <f t="shared" si="9"/>
        <v>128323.77999999998</v>
      </c>
      <c r="G79" s="135">
        <f>C79*F79</f>
        <v>128323.77999999998</v>
      </c>
      <c r="I79" s="191">
        <v>1706</v>
      </c>
      <c r="J79" s="211">
        <f t="shared" si="10"/>
        <v>1706</v>
      </c>
    </row>
    <row r="80" spans="1:11" x14ac:dyDescent="0.2">
      <c r="A80" s="164" t="s">
        <v>94</v>
      </c>
      <c r="B80" s="164" t="s">
        <v>105</v>
      </c>
      <c r="C80" s="189">
        <v>1</v>
      </c>
      <c r="D80" s="190">
        <v>64402.060000000005</v>
      </c>
      <c r="E80" s="188">
        <v>0.37360606166945587</v>
      </c>
      <c r="F80" s="134">
        <f t="shared" si="9"/>
        <v>88463.06</v>
      </c>
      <c r="G80" s="135">
        <f t="shared" ref="G80:G85" si="11">C80*F80</f>
        <v>88463.06</v>
      </c>
      <c r="I80" s="191">
        <v>1706</v>
      </c>
      <c r="J80" s="211">
        <f t="shared" si="10"/>
        <v>1706</v>
      </c>
    </row>
    <row r="81" spans="1:11" x14ac:dyDescent="0.2">
      <c r="A81" s="164" t="s">
        <v>95</v>
      </c>
      <c r="B81" s="164" t="s">
        <v>105</v>
      </c>
      <c r="C81" s="189">
        <v>1</v>
      </c>
      <c r="D81" s="190">
        <v>31641.200000000001</v>
      </c>
      <c r="E81" s="188">
        <v>0.37778687281139778</v>
      </c>
      <c r="F81" s="134">
        <f t="shared" si="9"/>
        <v>43594.83</v>
      </c>
      <c r="G81" s="135">
        <f t="shared" si="11"/>
        <v>43594.83</v>
      </c>
      <c r="I81" s="191">
        <v>1706</v>
      </c>
      <c r="J81" s="211">
        <f t="shared" si="10"/>
        <v>1706</v>
      </c>
    </row>
    <row r="82" spans="1:11" x14ac:dyDescent="0.2">
      <c r="A82" s="164" t="s">
        <v>96</v>
      </c>
      <c r="B82" s="164" t="s">
        <v>105</v>
      </c>
      <c r="C82" s="189">
        <v>1</v>
      </c>
      <c r="D82" s="190">
        <v>19909.78</v>
      </c>
      <c r="E82" s="188">
        <v>7.650009191462688E-2</v>
      </c>
      <c r="F82" s="134">
        <f t="shared" si="9"/>
        <v>21432.879999999997</v>
      </c>
      <c r="G82" s="135">
        <f t="shared" si="11"/>
        <v>21432.879999999997</v>
      </c>
      <c r="I82" s="191">
        <v>1706</v>
      </c>
      <c r="J82" s="211">
        <f t="shared" si="10"/>
        <v>1706</v>
      </c>
    </row>
    <row r="83" spans="1:11" x14ac:dyDescent="0.2">
      <c r="A83" s="164" t="s">
        <v>97</v>
      </c>
      <c r="B83" s="164" t="s">
        <v>105</v>
      </c>
      <c r="C83" s="189">
        <v>1</v>
      </c>
      <c r="D83" s="190">
        <v>65504.960000000006</v>
      </c>
      <c r="E83" s="188">
        <v>0.37221700463598478</v>
      </c>
      <c r="F83" s="134">
        <f t="shared" si="9"/>
        <v>89887.02</v>
      </c>
      <c r="G83" s="135">
        <f t="shared" si="11"/>
        <v>89887.02</v>
      </c>
      <c r="I83" s="191">
        <v>1706</v>
      </c>
      <c r="J83" s="211">
        <f t="shared" si="10"/>
        <v>1706</v>
      </c>
    </row>
    <row r="84" spans="1:11" x14ac:dyDescent="0.2">
      <c r="A84" s="164" t="s">
        <v>98</v>
      </c>
      <c r="B84" s="164" t="s">
        <v>105</v>
      </c>
      <c r="C84" s="189">
        <v>1</v>
      </c>
      <c r="D84" s="190">
        <v>84233.32</v>
      </c>
      <c r="E84" s="188">
        <v>0.32821572270925559</v>
      </c>
      <c r="F84" s="134">
        <f t="shared" si="9"/>
        <v>111880.02000000002</v>
      </c>
      <c r="G84" s="135">
        <f t="shared" si="11"/>
        <v>111880.02000000002</v>
      </c>
      <c r="I84" s="191">
        <v>1706</v>
      </c>
      <c r="J84" s="211">
        <f t="shared" si="10"/>
        <v>1706</v>
      </c>
    </row>
    <row r="85" spans="1:11" x14ac:dyDescent="0.2">
      <c r="A85" s="164" t="s">
        <v>99</v>
      </c>
      <c r="B85" s="164" t="s">
        <v>105</v>
      </c>
      <c r="C85" s="189">
        <v>1</v>
      </c>
      <c r="D85" s="223">
        <v>84745.55</v>
      </c>
      <c r="E85" s="188">
        <v>0.32522899432477576</v>
      </c>
      <c r="F85" s="134">
        <f t="shared" si="9"/>
        <v>112307.26</v>
      </c>
      <c r="G85" s="134">
        <f t="shared" si="11"/>
        <v>112307.26</v>
      </c>
      <c r="I85" s="191">
        <v>1706</v>
      </c>
      <c r="J85" s="211">
        <f t="shared" si="10"/>
        <v>1706</v>
      </c>
    </row>
    <row r="86" spans="1:11" x14ac:dyDescent="0.2">
      <c r="A86" s="164"/>
      <c r="B86" s="164"/>
      <c r="C86" s="189"/>
      <c r="D86" s="223"/>
      <c r="E86" s="188"/>
      <c r="F86" s="134"/>
      <c r="G86" s="134"/>
      <c r="I86" s="191"/>
      <c r="J86" s="211"/>
    </row>
    <row r="87" spans="1:11" x14ac:dyDescent="0.2">
      <c r="B87" s="81"/>
      <c r="C87" s="103" t="s">
        <v>138</v>
      </c>
      <c r="D87" s="137">
        <f>SUM(D78:D86)</f>
        <v>525824.1100000001</v>
      </c>
      <c r="E87" s="26"/>
      <c r="F87" s="136">
        <f t="shared" ref="F87:G87" si="12">SUM(F78:F86)</f>
        <v>699409.16</v>
      </c>
      <c r="G87" s="137">
        <f t="shared" si="12"/>
        <v>699409.16</v>
      </c>
      <c r="H87" s="22"/>
      <c r="I87" s="22"/>
      <c r="J87" s="224">
        <f>SUM(J78:J86)</f>
        <v>13648</v>
      </c>
    </row>
    <row r="88" spans="1:11" x14ac:dyDescent="0.2">
      <c r="B88" s="83"/>
      <c r="C88" s="13"/>
      <c r="D88" s="84"/>
      <c r="E88" s="26"/>
      <c r="F88" s="80"/>
      <c r="G88" s="12"/>
      <c r="J88" s="144"/>
    </row>
    <row r="89" spans="1:11" x14ac:dyDescent="0.2">
      <c r="B89" s="81"/>
      <c r="C89" s="13"/>
      <c r="D89" s="86"/>
      <c r="E89"/>
      <c r="G89" s="90" t="s">
        <v>141</v>
      </c>
      <c r="J89" s="140">
        <f>G87</f>
        <v>699409.16</v>
      </c>
    </row>
    <row r="90" spans="1:11" x14ac:dyDescent="0.2">
      <c r="B90" s="81"/>
      <c r="C90" s="13"/>
      <c r="D90" s="86"/>
      <c r="E90" s="85"/>
      <c r="G90" s="91" t="s">
        <v>109</v>
      </c>
      <c r="J90" s="141">
        <f>J87</f>
        <v>13648</v>
      </c>
    </row>
    <row r="91" spans="1:11" ht="12" thickBot="1" x14ac:dyDescent="0.25">
      <c r="B91" s="81"/>
      <c r="C91" s="13"/>
      <c r="D91" s="86"/>
      <c r="E91" s="85"/>
      <c r="G91" s="91" t="s">
        <v>110</v>
      </c>
      <c r="J91" s="142">
        <f>IFERROR(J89/J90,0)</f>
        <v>51.24627491207503</v>
      </c>
      <c r="K91" s="22" t="s">
        <v>253</v>
      </c>
    </row>
    <row r="92" spans="1:11" ht="12" thickTop="1" x14ac:dyDescent="0.2">
      <c r="B92" s="81"/>
      <c r="C92" s="13"/>
      <c r="D92" s="86"/>
      <c r="E92" s="85"/>
      <c r="G92" s="91"/>
      <c r="J92" s="95"/>
      <c r="K92" s="22"/>
    </row>
    <row r="93" spans="1:11" x14ac:dyDescent="0.2">
      <c r="B93" s="81"/>
      <c r="C93" s="13"/>
      <c r="D93" s="86"/>
      <c r="E93" s="85"/>
      <c r="G93" s="91"/>
      <c r="J93" s="95"/>
      <c r="K93" s="22"/>
    </row>
    <row r="94" spans="1:11" ht="16.5" customHeight="1" x14ac:dyDescent="0.2">
      <c r="B94" s="81"/>
      <c r="C94" s="13"/>
      <c r="D94" s="86"/>
      <c r="E94" s="85"/>
      <c r="G94" s="91"/>
      <c r="J94" s="95"/>
      <c r="K94" s="22"/>
    </row>
    <row r="95" spans="1:11" x14ac:dyDescent="0.2">
      <c r="B95" s="81"/>
      <c r="C95" s="252" t="s">
        <v>290</v>
      </c>
      <c r="I95" s="252" t="s">
        <v>291</v>
      </c>
      <c r="J95" s="95"/>
      <c r="K95" s="22"/>
    </row>
    <row r="96" spans="1:11" ht="45" x14ac:dyDescent="0.2">
      <c r="A96" s="50" t="s">
        <v>12</v>
      </c>
      <c r="B96" s="52" t="s">
        <v>66</v>
      </c>
      <c r="C96" s="51" t="s">
        <v>177</v>
      </c>
      <c r="D96" s="51" t="s">
        <v>175</v>
      </c>
      <c r="E96" s="53" t="s">
        <v>62</v>
      </c>
      <c r="F96" s="52" t="s">
        <v>0</v>
      </c>
      <c r="G96" s="52" t="s">
        <v>179</v>
      </c>
      <c r="H96" s="1"/>
      <c r="I96" s="52" t="s">
        <v>239</v>
      </c>
      <c r="J96" s="52" t="s">
        <v>106</v>
      </c>
      <c r="K96" s="22"/>
    </row>
    <row r="97" spans="1:11" s="1" customFormat="1" x14ac:dyDescent="0.2">
      <c r="A97" s="96"/>
      <c r="B97" s="97"/>
      <c r="C97" s="98" t="s">
        <v>121</v>
      </c>
      <c r="D97" s="193" t="s">
        <v>118</v>
      </c>
      <c r="E97" s="99"/>
      <c r="F97" s="97"/>
      <c r="G97" s="97"/>
      <c r="H97" s="99"/>
      <c r="I97" s="99"/>
      <c r="J97" s="97"/>
    </row>
    <row r="98" spans="1:11" x14ac:dyDescent="0.2">
      <c r="A98" s="164" t="s">
        <v>100</v>
      </c>
      <c r="B98" s="164" t="s">
        <v>118</v>
      </c>
      <c r="C98" s="189">
        <v>1</v>
      </c>
      <c r="D98" s="187">
        <v>6400</v>
      </c>
      <c r="E98" s="188">
        <v>7.6499999999999999E-2</v>
      </c>
      <c r="F98" s="133">
        <f t="shared" ref="F98:F102" si="13">(D98*(1+E98))</f>
        <v>6889.6</v>
      </c>
      <c r="G98" s="145">
        <f>F98*C98</f>
        <v>6889.6</v>
      </c>
      <c r="I98" s="191">
        <v>1706</v>
      </c>
      <c r="J98" s="211">
        <f t="shared" ref="J98:J102" si="14">ROUND(C98*I98,0)</f>
        <v>1706</v>
      </c>
    </row>
    <row r="99" spans="1:11" x14ac:dyDescent="0.2">
      <c r="A99" s="164" t="s">
        <v>101</v>
      </c>
      <c r="B99" s="164" t="s">
        <v>118</v>
      </c>
      <c r="C99" s="189">
        <v>1</v>
      </c>
      <c r="D99" s="190">
        <v>2896</v>
      </c>
      <c r="E99" s="188">
        <v>7.6499999999999999E-2</v>
      </c>
      <c r="F99" s="134">
        <f t="shared" si="13"/>
        <v>3117.5439999999999</v>
      </c>
      <c r="G99" s="135">
        <f>F99*C99</f>
        <v>3117.5439999999999</v>
      </c>
      <c r="I99" s="191">
        <v>1706</v>
      </c>
      <c r="J99" s="211">
        <f t="shared" si="14"/>
        <v>1706</v>
      </c>
    </row>
    <row r="100" spans="1:11" x14ac:dyDescent="0.2">
      <c r="A100" s="164" t="s">
        <v>102</v>
      </c>
      <c r="B100" s="164" t="s">
        <v>118</v>
      </c>
      <c r="C100" s="189">
        <v>1</v>
      </c>
      <c r="D100" s="190">
        <v>8952</v>
      </c>
      <c r="E100" s="188">
        <v>7.6499999999999999E-2</v>
      </c>
      <c r="F100" s="134">
        <f t="shared" si="13"/>
        <v>9636.8279999999995</v>
      </c>
      <c r="G100" s="135">
        <f t="shared" ref="G100:G102" si="15">F100*C100</f>
        <v>9636.8279999999995</v>
      </c>
      <c r="I100" s="191">
        <v>1706</v>
      </c>
      <c r="J100" s="211">
        <f t="shared" si="14"/>
        <v>1706</v>
      </c>
    </row>
    <row r="101" spans="1:11" x14ac:dyDescent="0.2">
      <c r="A101" s="164" t="s">
        <v>103</v>
      </c>
      <c r="B101" s="164" t="s">
        <v>118</v>
      </c>
      <c r="C101" s="189">
        <v>0.5</v>
      </c>
      <c r="D101" s="190">
        <v>12528</v>
      </c>
      <c r="E101" s="188">
        <v>7.6499999999999999E-2</v>
      </c>
      <c r="F101" s="134">
        <f t="shared" si="13"/>
        <v>13486.392</v>
      </c>
      <c r="G101" s="135">
        <f t="shared" si="15"/>
        <v>6743.1959999999999</v>
      </c>
      <c r="I101" s="191">
        <v>1706</v>
      </c>
      <c r="J101" s="211">
        <f t="shared" si="14"/>
        <v>853</v>
      </c>
    </row>
    <row r="102" spans="1:11" x14ac:dyDescent="0.2">
      <c r="A102" s="164" t="s">
        <v>114</v>
      </c>
      <c r="B102" s="164" t="s">
        <v>118</v>
      </c>
      <c r="C102" s="189">
        <v>1</v>
      </c>
      <c r="D102" s="190">
        <v>16584</v>
      </c>
      <c r="E102" s="188">
        <v>7.6499999999999999E-2</v>
      </c>
      <c r="F102" s="134">
        <f t="shared" si="13"/>
        <v>17852.675999999999</v>
      </c>
      <c r="G102" s="135">
        <f t="shared" si="15"/>
        <v>17852.675999999999</v>
      </c>
      <c r="I102" s="191">
        <v>1706</v>
      </c>
      <c r="J102" s="211">
        <f t="shared" si="14"/>
        <v>1706</v>
      </c>
    </row>
    <row r="103" spans="1:11" x14ac:dyDescent="0.2">
      <c r="A103" s="164"/>
      <c r="B103" s="164"/>
      <c r="C103" s="189"/>
      <c r="D103" s="223"/>
      <c r="E103" s="188"/>
      <c r="F103" s="134"/>
      <c r="G103" s="134"/>
      <c r="I103" s="191"/>
      <c r="J103" s="211"/>
    </row>
    <row r="104" spans="1:11" x14ac:dyDescent="0.2">
      <c r="B104" s="81"/>
      <c r="C104" s="103" t="s">
        <v>138</v>
      </c>
      <c r="D104" s="137">
        <f>SUM(D98:D103)</f>
        <v>47360</v>
      </c>
      <c r="E104" s="26"/>
      <c r="F104" s="136">
        <f t="shared" ref="F104:G104" si="16">SUM(F98:F103)</f>
        <v>50983.040000000001</v>
      </c>
      <c r="G104" s="137">
        <f t="shared" si="16"/>
        <v>44239.843999999997</v>
      </c>
      <c r="H104" s="22"/>
      <c r="I104" s="22"/>
      <c r="J104" s="224">
        <f>SUM(J98:J103)</f>
        <v>7677</v>
      </c>
    </row>
    <row r="105" spans="1:11" x14ac:dyDescent="0.2">
      <c r="B105" s="81"/>
      <c r="C105" s="13"/>
      <c r="D105" s="82"/>
      <c r="E105" s="26"/>
      <c r="F105" s="80"/>
      <c r="G105" s="12"/>
      <c r="J105" s="144"/>
    </row>
    <row r="106" spans="1:11" x14ac:dyDescent="0.2">
      <c r="B106" s="81"/>
      <c r="C106" s="13"/>
      <c r="D106" s="86"/>
      <c r="E106"/>
      <c r="G106" s="90" t="s">
        <v>141</v>
      </c>
      <c r="J106" s="140">
        <f>G104</f>
        <v>44239.843999999997</v>
      </c>
    </row>
    <row r="107" spans="1:11" x14ac:dyDescent="0.2">
      <c r="B107" s="81"/>
      <c r="C107" s="13"/>
      <c r="D107" s="86"/>
      <c r="E107" s="85"/>
      <c r="G107" s="91" t="s">
        <v>109</v>
      </c>
      <c r="J107" s="141">
        <f>J104</f>
        <v>7677</v>
      </c>
    </row>
    <row r="108" spans="1:11" ht="12" thickBot="1" x14ac:dyDescent="0.25">
      <c r="B108" s="81"/>
      <c r="C108" s="13"/>
      <c r="D108" s="86"/>
      <c r="E108" s="85"/>
      <c r="G108" s="91" t="s">
        <v>110</v>
      </c>
      <c r="J108" s="142">
        <f>IFERROR(J106/J107,0)</f>
        <v>5.7626473883027218</v>
      </c>
      <c r="K108" s="22" t="s">
        <v>253</v>
      </c>
    </row>
    <row r="109" spans="1:11" ht="12" thickTop="1" x14ac:dyDescent="0.2">
      <c r="B109" s="81"/>
      <c r="C109" s="13"/>
      <c r="D109" s="86"/>
      <c r="E109" s="85"/>
      <c r="G109" s="91"/>
      <c r="J109" s="95"/>
      <c r="K109" s="22"/>
    </row>
    <row r="110" spans="1:11" ht="16.5" customHeight="1" x14ac:dyDescent="0.2">
      <c r="B110" s="81"/>
      <c r="C110" s="13"/>
      <c r="D110" s="86"/>
      <c r="E110" s="85"/>
      <c r="G110" s="91"/>
      <c r="J110" s="95"/>
      <c r="K110" s="22"/>
    </row>
    <row r="111" spans="1:11" x14ac:dyDescent="0.2">
      <c r="B111" s="81"/>
      <c r="C111" s="252" t="s">
        <v>290</v>
      </c>
      <c r="I111" s="252" t="s">
        <v>291</v>
      </c>
      <c r="J111" s="95"/>
      <c r="K111" s="22"/>
    </row>
    <row r="112" spans="1:11" ht="45" x14ac:dyDescent="0.2">
      <c r="A112" s="50" t="s">
        <v>12</v>
      </c>
      <c r="B112" s="52" t="s">
        <v>66</v>
      </c>
      <c r="C112" s="51" t="s">
        <v>177</v>
      </c>
      <c r="D112" s="51" t="s">
        <v>175</v>
      </c>
      <c r="E112" s="53" t="s">
        <v>62</v>
      </c>
      <c r="F112" s="52" t="s">
        <v>0</v>
      </c>
      <c r="G112" s="52" t="s">
        <v>179</v>
      </c>
      <c r="H112" s="1"/>
      <c r="I112" s="52" t="s">
        <v>239</v>
      </c>
      <c r="J112" s="52" t="s">
        <v>106</v>
      </c>
      <c r="K112" s="22"/>
    </row>
    <row r="113" spans="1:11" s="1" customFormat="1" x14ac:dyDescent="0.2">
      <c r="A113" s="96"/>
      <c r="B113" s="97"/>
      <c r="C113" s="98" t="s">
        <v>121</v>
      </c>
      <c r="D113" s="193" t="s">
        <v>122</v>
      </c>
      <c r="E113" s="99"/>
      <c r="F113" s="97"/>
      <c r="G113" s="97"/>
      <c r="H113" s="99"/>
      <c r="I113" s="99"/>
      <c r="J113" s="97"/>
    </row>
    <row r="114" spans="1:11" x14ac:dyDescent="0.2">
      <c r="A114" s="164" t="s">
        <v>115</v>
      </c>
      <c r="B114" s="164" t="s">
        <v>122</v>
      </c>
      <c r="C114" s="189">
        <v>1</v>
      </c>
      <c r="D114" s="187">
        <v>98502</v>
      </c>
      <c r="E114" s="188">
        <v>0.2785853704881836</v>
      </c>
      <c r="F114" s="133">
        <f t="shared" ref="F114:F116" si="17">(D114*(1+E114))</f>
        <v>125943.21616382706</v>
      </c>
      <c r="G114" s="145">
        <f>F114*C114</f>
        <v>125943.21616382706</v>
      </c>
      <c r="I114" s="191">
        <v>1706</v>
      </c>
      <c r="J114" s="211">
        <f t="shared" ref="J114:J116" si="18">ROUND(C114*I114,0)</f>
        <v>1706</v>
      </c>
    </row>
    <row r="115" spans="1:11" x14ac:dyDescent="0.2">
      <c r="A115" s="164" t="s">
        <v>116</v>
      </c>
      <c r="B115" s="164" t="s">
        <v>122</v>
      </c>
      <c r="C115" s="189">
        <v>1</v>
      </c>
      <c r="D115" s="190">
        <v>85246</v>
      </c>
      <c r="E115" s="188">
        <v>0.25867700916921721</v>
      </c>
      <c r="F115" s="134">
        <f t="shared" si="17"/>
        <v>107297.18032363908</v>
      </c>
      <c r="G115" s="135">
        <f>F115*C115</f>
        <v>107297.18032363908</v>
      </c>
      <c r="I115" s="191">
        <v>1706</v>
      </c>
      <c r="J115" s="211">
        <f t="shared" si="18"/>
        <v>1706</v>
      </c>
    </row>
    <row r="116" spans="1:11" x14ac:dyDescent="0.2">
      <c r="A116" s="164" t="s">
        <v>117</v>
      </c>
      <c r="B116" s="164" t="s">
        <v>122</v>
      </c>
      <c r="C116" s="189">
        <v>1</v>
      </c>
      <c r="D116" s="190">
        <v>75824</v>
      </c>
      <c r="E116" s="188">
        <v>0.23215258702080921</v>
      </c>
      <c r="F116" s="134">
        <f t="shared" si="17"/>
        <v>93426.737758265837</v>
      </c>
      <c r="G116" s="135">
        <f t="shared" ref="G116" si="19">F116*C116</f>
        <v>93426.737758265837</v>
      </c>
      <c r="I116" s="191">
        <v>1706</v>
      </c>
      <c r="J116" s="211">
        <f t="shared" si="18"/>
        <v>1706</v>
      </c>
    </row>
    <row r="117" spans="1:11" x14ac:dyDescent="0.2">
      <c r="A117" s="164"/>
      <c r="B117" s="164"/>
      <c r="C117" s="189"/>
      <c r="D117" s="223"/>
      <c r="E117" s="188"/>
      <c r="F117" s="134"/>
      <c r="G117" s="134"/>
      <c r="I117" s="191"/>
      <c r="J117" s="211"/>
    </row>
    <row r="118" spans="1:11" x14ac:dyDescent="0.2">
      <c r="B118" s="12"/>
      <c r="C118" s="103" t="s">
        <v>138</v>
      </c>
      <c r="D118" s="137">
        <f>SUM(D114:D117)</f>
        <v>259572</v>
      </c>
      <c r="E118" s="26"/>
      <c r="F118" s="136">
        <f t="shared" ref="F118:G118" si="20">SUM(F114:F117)</f>
        <v>326667.13424573198</v>
      </c>
      <c r="G118" s="137">
        <f t="shared" si="20"/>
        <v>326667.13424573198</v>
      </c>
      <c r="H118" s="22"/>
      <c r="I118" s="22"/>
      <c r="J118" s="224">
        <f>SUM(J114:J117)</f>
        <v>5118</v>
      </c>
    </row>
    <row r="119" spans="1:11" x14ac:dyDescent="0.2">
      <c r="B119" s="12"/>
      <c r="C119" s="13"/>
      <c r="D119" s="82"/>
      <c r="E119" s="26"/>
      <c r="F119" s="80"/>
      <c r="G119" s="12"/>
      <c r="J119" s="144"/>
    </row>
    <row r="120" spans="1:11" x14ac:dyDescent="0.2">
      <c r="B120" s="81"/>
      <c r="C120" s="13"/>
      <c r="D120" s="86"/>
      <c r="E120"/>
      <c r="G120" s="90" t="s">
        <v>141</v>
      </c>
      <c r="J120" s="140">
        <f>G118</f>
        <v>326667.13424573198</v>
      </c>
    </row>
    <row r="121" spans="1:11" x14ac:dyDescent="0.2">
      <c r="B121" s="81"/>
      <c r="C121" s="13"/>
      <c r="D121" s="86"/>
      <c r="E121" s="85"/>
      <c r="G121" s="91" t="s">
        <v>109</v>
      </c>
      <c r="J121" s="141">
        <f>J118</f>
        <v>5118</v>
      </c>
    </row>
    <row r="122" spans="1:11" ht="12" thickBot="1" x14ac:dyDescent="0.25">
      <c r="B122" s="81"/>
      <c r="C122" s="13"/>
      <c r="D122" s="86"/>
      <c r="E122" s="85"/>
      <c r="G122" s="91" t="s">
        <v>110</v>
      </c>
      <c r="J122" s="142">
        <f>IFERROR(J120/J121,0)</f>
        <v>63.827107121088702</v>
      </c>
      <c r="K122" s="22" t="s">
        <v>253</v>
      </c>
    </row>
    <row r="123" spans="1:11" ht="12" thickTop="1" x14ac:dyDescent="0.2">
      <c r="B123" s="12"/>
      <c r="C123" s="13"/>
      <c r="D123" s="82"/>
      <c r="E123" s="26"/>
      <c r="F123" s="80"/>
      <c r="G123" s="12"/>
      <c r="J123" s="144"/>
    </row>
    <row r="124" spans="1:11" x14ac:dyDescent="0.2">
      <c r="B124" s="12"/>
      <c r="C124" s="13"/>
      <c r="D124" s="14"/>
      <c r="E124" s="26"/>
      <c r="F124" s="80"/>
      <c r="G124" s="12"/>
      <c r="J124" s="144"/>
    </row>
    <row r="125" spans="1:11" ht="12.75" x14ac:dyDescent="0.2">
      <c r="B125" s="12"/>
      <c r="C125" s="13"/>
      <c r="D125" s="14"/>
      <c r="E125" s="26"/>
      <c r="F125" s="80"/>
      <c r="G125" s="101" t="s">
        <v>279</v>
      </c>
      <c r="J125" s="231">
        <f>SUM(J31,J44,J69,J89,J106,J120)</f>
        <v>3125898.136330226</v>
      </c>
      <c r="K125" s="67" t="s">
        <v>278</v>
      </c>
    </row>
    <row r="126" spans="1:11" ht="15.75" customHeight="1" thickBot="1" x14ac:dyDescent="0.25">
      <c r="E126" s="25"/>
      <c r="F126" s="28"/>
      <c r="G126" s="101" t="s">
        <v>140</v>
      </c>
      <c r="J126" s="147">
        <f>J121+J107+J90+J70+J45+J32</f>
        <v>72420</v>
      </c>
      <c r="K126" s="67" t="s">
        <v>278</v>
      </c>
    </row>
    <row r="127" spans="1:11" ht="12" thickTop="1" x14ac:dyDescent="0.2">
      <c r="A127" s="18"/>
      <c r="E127" s="6"/>
      <c r="F127" s="5"/>
      <c r="J127" s="144"/>
    </row>
    <row r="128" spans="1:11" ht="12.75" x14ac:dyDescent="0.2">
      <c r="A128" s="279" t="s">
        <v>211</v>
      </c>
      <c r="B128" s="280"/>
      <c r="C128" s="280"/>
      <c r="D128" s="280"/>
      <c r="E128" s="280"/>
      <c r="F128" s="280"/>
      <c r="G128" s="280"/>
      <c r="H128" s="281"/>
    </row>
    <row r="129" spans="1:9" ht="23.25" customHeight="1" x14ac:dyDescent="0.2">
      <c r="A129" s="276" t="s">
        <v>212</v>
      </c>
      <c r="B129" s="277"/>
      <c r="C129" s="277"/>
      <c r="D129" s="277"/>
      <c r="E129" s="277"/>
      <c r="F129" s="277"/>
      <c r="G129" s="277"/>
      <c r="H129" s="278"/>
      <c r="I129" s="253" t="s">
        <v>290</v>
      </c>
    </row>
    <row r="130" spans="1:9" ht="40.5" customHeight="1" x14ac:dyDescent="0.2">
      <c r="A130" s="276" t="s">
        <v>231</v>
      </c>
      <c r="B130" s="277"/>
      <c r="C130" s="277"/>
      <c r="D130" s="277"/>
      <c r="E130" s="277"/>
      <c r="F130" s="277"/>
      <c r="G130" s="277"/>
      <c r="H130" s="278"/>
      <c r="I130" s="253" t="s">
        <v>291</v>
      </c>
    </row>
    <row r="131" spans="1:9" x14ac:dyDescent="0.2">
      <c r="D131" s="4"/>
      <c r="E131" s="5"/>
      <c r="F131" s="24"/>
      <c r="G131" s="5"/>
    </row>
    <row r="132" spans="1:9" x14ac:dyDescent="0.2">
      <c r="D132" s="4"/>
      <c r="E132" s="5"/>
      <c r="F132" s="25"/>
      <c r="G132" s="28"/>
    </row>
    <row r="133" spans="1:9" x14ac:dyDescent="0.2">
      <c r="A133" s="18"/>
      <c r="D133" s="4"/>
      <c r="E133" s="5"/>
      <c r="F133" s="6"/>
      <c r="G133" s="5"/>
    </row>
    <row r="134" spans="1:9" x14ac:dyDescent="0.2">
      <c r="E134" s="24"/>
      <c r="F134" s="23"/>
    </row>
    <row r="135" spans="1:9" ht="12.75" x14ac:dyDescent="0.2">
      <c r="A135" s="7" t="s">
        <v>19</v>
      </c>
      <c r="B135" s="8"/>
      <c r="C135" s="9"/>
      <c r="D135" s="10"/>
      <c r="E135" s="11"/>
      <c r="F135" s="8"/>
      <c r="G135" s="8"/>
      <c r="H135" s="43"/>
      <c r="I135" s="43"/>
    </row>
    <row r="136" spans="1:9" s="12" customFormat="1" x14ac:dyDescent="0.2">
      <c r="A136" s="12" t="s">
        <v>112</v>
      </c>
      <c r="C136" s="13"/>
      <c r="D136" s="14"/>
      <c r="E136" s="15"/>
    </row>
    <row r="137" spans="1:9" s="12" customFormat="1" x14ac:dyDescent="0.2">
      <c r="A137" s="12" t="s">
        <v>113</v>
      </c>
      <c r="C137" s="13"/>
      <c r="D137" s="14"/>
      <c r="E137" s="15"/>
    </row>
    <row r="138" spans="1:9" s="116" customFormat="1" x14ac:dyDescent="0.2">
      <c r="A138" s="116" t="s">
        <v>172</v>
      </c>
      <c r="C138" s="117"/>
      <c r="D138" s="118"/>
      <c r="E138" s="119"/>
    </row>
    <row r="139" spans="1:9" s="116" customFormat="1" x14ac:dyDescent="0.2">
      <c r="A139" s="120" t="s">
        <v>173</v>
      </c>
      <c r="C139" s="117"/>
      <c r="D139" s="118"/>
      <c r="E139" s="119"/>
    </row>
    <row r="140" spans="1:9" s="116" customFormat="1" x14ac:dyDescent="0.2">
      <c r="A140" s="120" t="s">
        <v>174</v>
      </c>
      <c r="C140" s="117"/>
      <c r="D140" s="118"/>
      <c r="E140" s="119"/>
    </row>
    <row r="141" spans="1:9" s="116" customFormat="1" ht="15.75" customHeight="1" x14ac:dyDescent="0.2">
      <c r="A141" s="120" t="s">
        <v>181</v>
      </c>
      <c r="C141" s="117"/>
      <c r="D141" s="118"/>
      <c r="E141" s="119"/>
    </row>
    <row r="142" spans="1:9" s="116" customFormat="1" x14ac:dyDescent="0.2">
      <c r="A142" s="120"/>
      <c r="C142" s="252" t="s">
        <v>292</v>
      </c>
      <c r="D142" s="118"/>
      <c r="E142" s="119"/>
    </row>
    <row r="143" spans="1:9" s="1" customFormat="1" ht="36" customHeight="1" x14ac:dyDescent="0.2">
      <c r="A143" s="50" t="s">
        <v>12</v>
      </c>
      <c r="B143" s="52" t="s">
        <v>66</v>
      </c>
      <c r="C143" s="51" t="s">
        <v>177</v>
      </c>
      <c r="D143" s="51" t="s">
        <v>108</v>
      </c>
      <c r="E143" s="53" t="s">
        <v>62</v>
      </c>
      <c r="F143" s="52" t="s">
        <v>0</v>
      </c>
      <c r="G143" s="52" t="s">
        <v>107</v>
      </c>
    </row>
    <row r="144" spans="1:9" x14ac:dyDescent="0.2">
      <c r="A144" s="164" t="s">
        <v>125</v>
      </c>
      <c r="B144" s="164" t="s">
        <v>123</v>
      </c>
      <c r="C144" s="189">
        <v>1</v>
      </c>
      <c r="D144" s="187">
        <v>128654</v>
      </c>
      <c r="E144" s="188">
        <v>0.2785853704881836</v>
      </c>
      <c r="F144" s="133">
        <f t="shared" ref="F144:F145" si="21">(D144*(1+E144))</f>
        <v>164495.12225478678</v>
      </c>
      <c r="G144" s="145">
        <f>F144*C144</f>
        <v>164495.12225478678</v>
      </c>
    </row>
    <row r="145" spans="1:9" x14ac:dyDescent="0.2">
      <c r="A145" s="164" t="s">
        <v>126</v>
      </c>
      <c r="B145" s="164" t="s">
        <v>124</v>
      </c>
      <c r="C145" s="189">
        <v>1</v>
      </c>
      <c r="D145" s="190">
        <v>90156</v>
      </c>
      <c r="E145" s="188">
        <v>0.25867700916921721</v>
      </c>
      <c r="F145" s="134">
        <f t="shared" si="21"/>
        <v>113477.28443865995</v>
      </c>
      <c r="G145" s="135">
        <f>F145*C145</f>
        <v>113477.28443865995</v>
      </c>
    </row>
    <row r="146" spans="1:9" x14ac:dyDescent="0.2">
      <c r="A146" s="164" t="s">
        <v>127</v>
      </c>
      <c r="B146" s="164" t="s">
        <v>124</v>
      </c>
      <c r="C146" s="189">
        <v>1</v>
      </c>
      <c r="D146" s="190">
        <v>92498</v>
      </c>
      <c r="E146" s="188">
        <v>0.23215258702080921</v>
      </c>
      <c r="F146" s="134">
        <f t="shared" ref="F146:F152" si="22">(D146*(1+E146))</f>
        <v>113971.64999425081</v>
      </c>
      <c r="G146" s="135">
        <f t="shared" ref="G146:G152" si="23">F146*C146</f>
        <v>113971.64999425081</v>
      </c>
    </row>
    <row r="147" spans="1:9" x14ac:dyDescent="0.2">
      <c r="A147" s="164" t="s">
        <v>128</v>
      </c>
      <c r="B147" s="164" t="s">
        <v>134</v>
      </c>
      <c r="C147" s="189">
        <v>0.5</v>
      </c>
      <c r="D147" s="190">
        <v>5405</v>
      </c>
      <c r="E147" s="188">
        <v>7.6499999999999999E-2</v>
      </c>
      <c r="F147" s="134">
        <f t="shared" si="22"/>
        <v>5818.4825000000001</v>
      </c>
      <c r="G147" s="135">
        <f t="shared" si="23"/>
        <v>2909.24125</v>
      </c>
      <c r="H147" s="47"/>
      <c r="I147" s="47"/>
    </row>
    <row r="148" spans="1:9" x14ac:dyDescent="0.2">
      <c r="A148" s="164" t="s">
        <v>129</v>
      </c>
      <c r="B148" s="164" t="s">
        <v>135</v>
      </c>
      <c r="C148" s="189">
        <v>0.5</v>
      </c>
      <c r="D148" s="190">
        <v>45243</v>
      </c>
      <c r="E148" s="188">
        <v>0.46500000000000002</v>
      </c>
      <c r="F148" s="134">
        <f t="shared" si="22"/>
        <v>66280.99500000001</v>
      </c>
      <c r="G148" s="135">
        <f t="shared" si="23"/>
        <v>33140.497500000005</v>
      </c>
    </row>
    <row r="149" spans="1:9" x14ac:dyDescent="0.2">
      <c r="A149" s="164" t="s">
        <v>130</v>
      </c>
      <c r="B149" s="164" t="s">
        <v>136</v>
      </c>
      <c r="C149" s="189">
        <v>1</v>
      </c>
      <c r="D149" s="190">
        <v>55243</v>
      </c>
      <c r="E149" s="188">
        <v>0.41599999999999998</v>
      </c>
      <c r="F149" s="134">
        <f t="shared" si="22"/>
        <v>78224.087999999989</v>
      </c>
      <c r="G149" s="135">
        <f t="shared" si="23"/>
        <v>78224.087999999989</v>
      </c>
    </row>
    <row r="150" spans="1:9" x14ac:dyDescent="0.2">
      <c r="A150" s="164" t="s">
        <v>131</v>
      </c>
      <c r="B150" s="164" t="s">
        <v>120</v>
      </c>
      <c r="C150" s="189">
        <v>1</v>
      </c>
      <c r="D150" s="190">
        <v>65123</v>
      </c>
      <c r="E150" s="188">
        <v>0.38200000000000001</v>
      </c>
      <c r="F150" s="134">
        <f t="shared" si="22"/>
        <v>89999.986000000004</v>
      </c>
      <c r="G150" s="135">
        <f t="shared" si="23"/>
        <v>89999.986000000004</v>
      </c>
    </row>
    <row r="151" spans="1:9" x14ac:dyDescent="0.2">
      <c r="A151" s="164" t="s">
        <v>132</v>
      </c>
      <c r="B151" s="164" t="s">
        <v>120</v>
      </c>
      <c r="C151" s="189">
        <v>0.5</v>
      </c>
      <c r="D151" s="190">
        <v>59654</v>
      </c>
      <c r="E151" s="188">
        <v>0.40400000000000003</v>
      </c>
      <c r="F151" s="134">
        <f t="shared" si="22"/>
        <v>83754.216</v>
      </c>
      <c r="G151" s="135">
        <f t="shared" si="23"/>
        <v>41877.108</v>
      </c>
    </row>
    <row r="152" spans="1:9" x14ac:dyDescent="0.2">
      <c r="A152" s="164" t="s">
        <v>133</v>
      </c>
      <c r="B152" s="164" t="s">
        <v>137</v>
      </c>
      <c r="C152" s="189">
        <v>1</v>
      </c>
      <c r="D152" s="190">
        <v>59542</v>
      </c>
      <c r="E152" s="188">
        <v>0.40389999999999998</v>
      </c>
      <c r="F152" s="134">
        <f t="shared" si="22"/>
        <v>83591.013800000001</v>
      </c>
      <c r="G152" s="135">
        <f t="shared" si="23"/>
        <v>83591.013800000001</v>
      </c>
      <c r="H152" s="102"/>
      <c r="I152" s="102"/>
    </row>
    <row r="153" spans="1:9" x14ac:dyDescent="0.2">
      <c r="A153" s="164"/>
      <c r="B153" s="164"/>
      <c r="C153" s="189"/>
      <c r="D153" s="223"/>
      <c r="E153" s="188"/>
      <c r="F153" s="134"/>
      <c r="G153" s="134"/>
      <c r="H153" s="102"/>
      <c r="I153" s="102"/>
    </row>
    <row r="154" spans="1:9" s="87" customFormat="1" x14ac:dyDescent="0.2">
      <c r="A154" s="100"/>
      <c r="B154" s="45"/>
      <c r="C154" s="104" t="s">
        <v>139</v>
      </c>
      <c r="D154" s="137">
        <f>SUM(D144:D153)</f>
        <v>601518</v>
      </c>
      <c r="E154" s="26"/>
      <c r="F154" s="136">
        <f t="shared" ref="F154:G154" si="24">SUM(F144:F153)</f>
        <v>799612.83798769757</v>
      </c>
      <c r="G154" s="137">
        <f t="shared" si="24"/>
        <v>721685.99123769754</v>
      </c>
      <c r="H154" s="104"/>
      <c r="I154" s="104"/>
    </row>
    <row r="155" spans="1:9" x14ac:dyDescent="0.2">
      <c r="A155" s="12"/>
      <c r="B155" s="40"/>
      <c r="D155" s="4"/>
      <c r="E155" s="5"/>
      <c r="G155" s="25"/>
      <c r="H155" s="102"/>
      <c r="I155" s="102"/>
    </row>
    <row r="156" spans="1:9" x14ac:dyDescent="0.2">
      <c r="A156" s="12"/>
      <c r="B156" s="40"/>
      <c r="D156" s="4"/>
      <c r="E156" s="5"/>
      <c r="F156" s="16" t="s">
        <v>139</v>
      </c>
      <c r="G156" s="146">
        <f>G154</f>
        <v>721685.99123769754</v>
      </c>
      <c r="H156" s="22" t="s">
        <v>278</v>
      </c>
      <c r="I156" s="102"/>
    </row>
    <row r="157" spans="1:9" x14ac:dyDescent="0.2">
      <c r="A157" s="12"/>
      <c r="B157" s="40"/>
      <c r="D157" s="4"/>
      <c r="E157" s="5"/>
      <c r="F157" s="16" t="s">
        <v>142</v>
      </c>
      <c r="G157" s="148">
        <f>J126</f>
        <v>72420</v>
      </c>
      <c r="H157" s="102"/>
      <c r="I157" s="102"/>
    </row>
    <row r="158" spans="1:9" ht="12" thickBot="1" x14ac:dyDescent="0.25">
      <c r="A158" s="12"/>
      <c r="B158" s="40"/>
      <c r="D158" s="4"/>
      <c r="E158" s="5"/>
      <c r="F158" s="16" t="s">
        <v>143</v>
      </c>
      <c r="G158" s="142">
        <f>IFERROR(G156/G157,0)</f>
        <v>9.965285711650063</v>
      </c>
      <c r="H158" s="22" t="s">
        <v>253</v>
      </c>
      <c r="I158" s="22"/>
    </row>
    <row r="159" spans="1:9" ht="12" thickTop="1" x14ac:dyDescent="0.2">
      <c r="A159" s="12"/>
      <c r="B159" s="40"/>
      <c r="D159" s="4"/>
      <c r="E159" s="5"/>
      <c r="G159" s="25"/>
      <c r="H159" s="102"/>
      <c r="I159" s="102"/>
    </row>
    <row r="160" spans="1:9" x14ac:dyDescent="0.2">
      <c r="A160" s="12" t="s">
        <v>176</v>
      </c>
    </row>
    <row r="161" spans="1:9" x14ac:dyDescent="0.2">
      <c r="A161" s="12" t="s">
        <v>178</v>
      </c>
    </row>
    <row r="162" spans="1:9" x14ac:dyDescent="0.2">
      <c r="A162" s="12" t="s">
        <v>167</v>
      </c>
      <c r="B162" s="77" t="s">
        <v>61</v>
      </c>
      <c r="C162" s="78"/>
      <c r="D162" s="79"/>
      <c r="F162" s="111" t="s">
        <v>168</v>
      </c>
    </row>
    <row r="164" spans="1:9" ht="12.75" x14ac:dyDescent="0.2">
      <c r="A164" s="279" t="s">
        <v>213</v>
      </c>
      <c r="B164" s="280"/>
      <c r="C164" s="280"/>
      <c r="D164" s="280"/>
      <c r="E164" s="280"/>
      <c r="F164" s="280"/>
      <c r="G164" s="280"/>
      <c r="H164" s="281"/>
    </row>
    <row r="165" spans="1:9" ht="23.25" customHeight="1" x14ac:dyDescent="0.2">
      <c r="A165" s="276" t="s">
        <v>212</v>
      </c>
      <c r="B165" s="277"/>
      <c r="C165" s="277"/>
      <c r="D165" s="277"/>
      <c r="E165" s="277"/>
      <c r="F165" s="277"/>
      <c r="G165" s="277"/>
      <c r="H165" s="278"/>
      <c r="I165" s="253" t="s">
        <v>292</v>
      </c>
    </row>
    <row r="167" spans="1:9" ht="12.75" x14ac:dyDescent="0.2">
      <c r="A167" s="7" t="s">
        <v>252</v>
      </c>
      <c r="B167" s="8"/>
      <c r="C167" s="9"/>
      <c r="D167" s="10"/>
      <c r="E167" s="11"/>
      <c r="F167" s="8"/>
      <c r="G167" s="8"/>
    </row>
    <row r="168" spans="1:9" ht="22.5" x14ac:dyDescent="0.2">
      <c r="A168" s="50" t="s">
        <v>12</v>
      </c>
      <c r="B168" s="51" t="s">
        <v>235</v>
      </c>
      <c r="C168" s="51" t="s">
        <v>236</v>
      </c>
      <c r="D168" s="51" t="s">
        <v>237</v>
      </c>
      <c r="E168" s="51" t="s">
        <v>238</v>
      </c>
      <c r="F168" s="16"/>
      <c r="G168" s="146"/>
    </row>
    <row r="169" spans="1:9" x14ac:dyDescent="0.2">
      <c r="A169" s="217" t="str">
        <f t="shared" ref="A169:A182" si="25">IF(A14=0,"",A14)</f>
        <v>Employee #1</v>
      </c>
      <c r="B169" s="209">
        <f t="shared" ref="B169:B200" si="26">SUMIF($A$14:$A$163,A169,$C$14:$C$163)</f>
        <v>0.1</v>
      </c>
      <c r="C169" s="222">
        <v>1</v>
      </c>
      <c r="D169" s="210" t="str">
        <f>IF(B169&gt;C169,"Yes","No")</f>
        <v>No</v>
      </c>
      <c r="E169" s="133" t="str">
        <f>IF(D169="Yes","Reduce LOE utilized in rates above","OK")</f>
        <v>OK</v>
      </c>
      <c r="F169" s="16"/>
      <c r="G169" s="146"/>
    </row>
    <row r="170" spans="1:9" x14ac:dyDescent="0.2">
      <c r="A170" s="217" t="str">
        <f t="shared" si="25"/>
        <v>Employee #2</v>
      </c>
      <c r="B170" s="209">
        <f t="shared" si="26"/>
        <v>0.2</v>
      </c>
      <c r="C170" s="222">
        <v>1</v>
      </c>
      <c r="D170" s="210" t="str">
        <f>IF(B170&gt;C170,"Yes","No")</f>
        <v>No</v>
      </c>
      <c r="E170" s="133" t="str">
        <f>IF(D170="Yes","Reduce LOE utilized in rates above","OK")</f>
        <v>OK</v>
      </c>
    </row>
    <row r="171" spans="1:9" x14ac:dyDescent="0.2">
      <c r="A171" s="217" t="str">
        <f t="shared" si="25"/>
        <v>Employee #3</v>
      </c>
      <c r="B171" s="209">
        <f t="shared" si="26"/>
        <v>1</v>
      </c>
      <c r="C171" s="222">
        <v>1</v>
      </c>
      <c r="D171" s="210" t="str">
        <f>IF(B171&gt;C171,"Yes","No")</f>
        <v>No</v>
      </c>
      <c r="E171" s="133" t="str">
        <f>IF(D171="Yes","Reduce LOE utilized in rates above","OK")</f>
        <v>OK</v>
      </c>
    </row>
    <row r="172" spans="1:9" x14ac:dyDescent="0.2">
      <c r="A172" s="217" t="str">
        <f t="shared" si="25"/>
        <v>Employee #4</v>
      </c>
      <c r="B172" s="209">
        <f t="shared" si="26"/>
        <v>1</v>
      </c>
      <c r="C172" s="222">
        <v>1</v>
      </c>
      <c r="D172" s="210" t="str">
        <f>IF(B172&gt;C172,"Yes","No")</f>
        <v>No</v>
      </c>
      <c r="E172" s="133" t="str">
        <f>IF(D172="Yes","Reduce LOE utilized in rates above","OK")</f>
        <v>OK</v>
      </c>
      <c r="F172" s="144"/>
    </row>
    <row r="173" spans="1:9" x14ac:dyDescent="0.2">
      <c r="A173" s="217" t="str">
        <f t="shared" si="25"/>
        <v>Employee #5</v>
      </c>
      <c r="B173" s="209">
        <f t="shared" si="26"/>
        <v>1</v>
      </c>
      <c r="C173" s="222">
        <v>1</v>
      </c>
      <c r="D173" s="210" t="str">
        <f t="shared" ref="D173:D222" si="27">IF(B173&gt;C173,"Yes","No")</f>
        <v>No</v>
      </c>
      <c r="E173" s="133" t="str">
        <f t="shared" ref="E173:E222" si="28">IF(D173="Yes","Reduce LOE utilized in rates above","OK")</f>
        <v>OK</v>
      </c>
      <c r="F173" s="16"/>
      <c r="G173" s="146"/>
    </row>
    <row r="174" spans="1:9" x14ac:dyDescent="0.2">
      <c r="A174" s="217" t="str">
        <f t="shared" si="25"/>
        <v>Employee #6</v>
      </c>
      <c r="B174" s="209">
        <f t="shared" si="26"/>
        <v>1</v>
      </c>
      <c r="C174" s="222">
        <v>1</v>
      </c>
      <c r="D174" s="210" t="str">
        <f t="shared" si="27"/>
        <v>No</v>
      </c>
      <c r="E174" s="133" t="str">
        <f t="shared" si="28"/>
        <v>OK</v>
      </c>
    </row>
    <row r="175" spans="1:9" x14ac:dyDescent="0.2">
      <c r="A175" s="217" t="str">
        <f t="shared" si="25"/>
        <v>Employee #7</v>
      </c>
      <c r="B175" s="209">
        <f t="shared" si="26"/>
        <v>1</v>
      </c>
      <c r="C175" s="222">
        <v>1</v>
      </c>
      <c r="D175" s="210" t="str">
        <f t="shared" si="27"/>
        <v>No</v>
      </c>
      <c r="E175" s="133" t="str">
        <f t="shared" si="28"/>
        <v>OK</v>
      </c>
    </row>
    <row r="176" spans="1:9" x14ac:dyDescent="0.2">
      <c r="A176" s="217" t="str">
        <f t="shared" si="25"/>
        <v>Employee #8</v>
      </c>
      <c r="B176" s="209">
        <f t="shared" si="26"/>
        <v>0.75</v>
      </c>
      <c r="C176" s="222">
        <v>1</v>
      </c>
      <c r="D176" s="210" t="str">
        <f t="shared" si="27"/>
        <v>No</v>
      </c>
      <c r="E176" s="133" t="str">
        <f t="shared" si="28"/>
        <v>OK</v>
      </c>
    </row>
    <row r="177" spans="1:5" x14ac:dyDescent="0.2">
      <c r="A177" s="217" t="str">
        <f t="shared" si="25"/>
        <v>Employee #9</v>
      </c>
      <c r="B177" s="209">
        <f t="shared" si="26"/>
        <v>0.9</v>
      </c>
      <c r="C177" s="222">
        <v>1</v>
      </c>
      <c r="D177" s="210" t="str">
        <f t="shared" si="27"/>
        <v>No</v>
      </c>
      <c r="E177" s="133" t="str">
        <f t="shared" si="28"/>
        <v>OK</v>
      </c>
    </row>
    <row r="178" spans="1:5" x14ac:dyDescent="0.2">
      <c r="A178" s="217" t="str">
        <f t="shared" si="25"/>
        <v>Employee #10</v>
      </c>
      <c r="B178" s="209">
        <f t="shared" si="26"/>
        <v>1</v>
      </c>
      <c r="C178" s="222">
        <v>1</v>
      </c>
      <c r="D178" s="210" t="str">
        <f t="shared" si="27"/>
        <v>No</v>
      </c>
      <c r="E178" s="133" t="str">
        <f t="shared" si="28"/>
        <v>OK</v>
      </c>
    </row>
    <row r="179" spans="1:5" x14ac:dyDescent="0.2">
      <c r="A179" s="217" t="str">
        <f t="shared" si="25"/>
        <v>Employee #11</v>
      </c>
      <c r="B179" s="209">
        <f t="shared" si="26"/>
        <v>1</v>
      </c>
      <c r="C179" s="222">
        <v>1</v>
      </c>
      <c r="D179" s="210" t="str">
        <f t="shared" si="27"/>
        <v>No</v>
      </c>
      <c r="E179" s="133" t="str">
        <f t="shared" si="28"/>
        <v>OK</v>
      </c>
    </row>
    <row r="180" spans="1:5" x14ac:dyDescent="0.2">
      <c r="A180" s="217" t="str">
        <f t="shared" si="25"/>
        <v>Employee #12</v>
      </c>
      <c r="B180" s="209">
        <f t="shared" si="26"/>
        <v>1</v>
      </c>
      <c r="C180" s="222">
        <v>1</v>
      </c>
      <c r="D180" s="210" t="str">
        <f t="shared" si="27"/>
        <v>No</v>
      </c>
      <c r="E180" s="133" t="str">
        <f t="shared" si="28"/>
        <v>OK</v>
      </c>
    </row>
    <row r="181" spans="1:5" x14ac:dyDescent="0.2">
      <c r="A181" s="217" t="str">
        <f t="shared" si="25"/>
        <v>Employee #13</v>
      </c>
      <c r="B181" s="209">
        <f t="shared" si="26"/>
        <v>1</v>
      </c>
      <c r="C181" s="222">
        <v>1</v>
      </c>
      <c r="D181" s="210" t="str">
        <f t="shared" si="27"/>
        <v>No</v>
      </c>
      <c r="E181" s="133" t="str">
        <f t="shared" si="28"/>
        <v>OK</v>
      </c>
    </row>
    <row r="182" spans="1:5" x14ac:dyDescent="0.2">
      <c r="A182" s="217" t="str">
        <f t="shared" si="25"/>
        <v>Employee #14</v>
      </c>
      <c r="B182" s="209">
        <f t="shared" si="26"/>
        <v>1</v>
      </c>
      <c r="C182" s="222">
        <v>1</v>
      </c>
      <c r="D182" s="210" t="str">
        <f t="shared" si="27"/>
        <v>No</v>
      </c>
      <c r="E182" s="133" t="str">
        <f t="shared" si="28"/>
        <v>OK</v>
      </c>
    </row>
    <row r="183" spans="1:5" x14ac:dyDescent="0.2">
      <c r="A183" s="217" t="str">
        <f>IF(A39=0,"",A39)</f>
        <v>Employee #15</v>
      </c>
      <c r="B183" s="209">
        <f t="shared" si="26"/>
        <v>1</v>
      </c>
      <c r="C183" s="222">
        <v>1</v>
      </c>
      <c r="D183" s="210" t="str">
        <f t="shared" si="27"/>
        <v>No</v>
      </c>
      <c r="E183" s="133" t="str">
        <f t="shared" si="28"/>
        <v>OK</v>
      </c>
    </row>
    <row r="184" spans="1:5" x14ac:dyDescent="0.2">
      <c r="A184" s="217" t="str">
        <f>IF(A40=0,"",A40)</f>
        <v>Employee #16</v>
      </c>
      <c r="B184" s="209">
        <f t="shared" si="26"/>
        <v>1</v>
      </c>
      <c r="C184" s="222">
        <v>1</v>
      </c>
      <c r="D184" s="210" t="str">
        <f t="shared" si="27"/>
        <v>No</v>
      </c>
      <c r="E184" s="133" t="str">
        <f t="shared" si="28"/>
        <v>OK</v>
      </c>
    </row>
    <row r="185" spans="1:5" x14ac:dyDescent="0.2">
      <c r="A185" s="217" t="str">
        <f t="shared" ref="A185:A197" si="29">IF(A53=0,"",A53)</f>
        <v>Employee #17</v>
      </c>
      <c r="B185" s="209">
        <f t="shared" si="26"/>
        <v>1</v>
      </c>
      <c r="C185" s="222">
        <v>1</v>
      </c>
      <c r="D185" s="210" t="str">
        <f t="shared" si="27"/>
        <v>No</v>
      </c>
      <c r="E185" s="133" t="str">
        <f t="shared" si="28"/>
        <v>OK</v>
      </c>
    </row>
    <row r="186" spans="1:5" x14ac:dyDescent="0.2">
      <c r="A186" s="217" t="str">
        <f t="shared" si="29"/>
        <v>Employee #18</v>
      </c>
      <c r="B186" s="209">
        <f t="shared" si="26"/>
        <v>1</v>
      </c>
      <c r="C186" s="222">
        <v>1</v>
      </c>
      <c r="D186" s="210" t="str">
        <f t="shared" si="27"/>
        <v>No</v>
      </c>
      <c r="E186" s="133" t="str">
        <f t="shared" si="28"/>
        <v>OK</v>
      </c>
    </row>
    <row r="187" spans="1:5" x14ac:dyDescent="0.2">
      <c r="A187" s="217" t="str">
        <f t="shared" si="29"/>
        <v>Employee #19</v>
      </c>
      <c r="B187" s="209">
        <f t="shared" si="26"/>
        <v>1</v>
      </c>
      <c r="C187" s="222">
        <v>1</v>
      </c>
      <c r="D187" s="210" t="str">
        <f t="shared" si="27"/>
        <v>No</v>
      </c>
      <c r="E187" s="133" t="str">
        <f t="shared" si="28"/>
        <v>OK</v>
      </c>
    </row>
    <row r="188" spans="1:5" x14ac:dyDescent="0.2">
      <c r="A188" s="217" t="str">
        <f t="shared" si="29"/>
        <v>Employee #20</v>
      </c>
      <c r="B188" s="209">
        <f t="shared" si="26"/>
        <v>1</v>
      </c>
      <c r="C188" s="222">
        <v>1</v>
      </c>
      <c r="D188" s="210" t="str">
        <f t="shared" si="27"/>
        <v>No</v>
      </c>
      <c r="E188" s="133" t="str">
        <f t="shared" si="28"/>
        <v>OK</v>
      </c>
    </row>
    <row r="189" spans="1:5" x14ac:dyDescent="0.2">
      <c r="A189" s="217" t="str">
        <f t="shared" si="29"/>
        <v>Employee #21</v>
      </c>
      <c r="B189" s="209">
        <f t="shared" si="26"/>
        <v>1</v>
      </c>
      <c r="C189" s="222">
        <v>1</v>
      </c>
      <c r="D189" s="210" t="str">
        <f t="shared" si="27"/>
        <v>No</v>
      </c>
      <c r="E189" s="133" t="str">
        <f t="shared" si="28"/>
        <v>OK</v>
      </c>
    </row>
    <row r="190" spans="1:5" x14ac:dyDescent="0.2">
      <c r="A190" s="217" t="str">
        <f t="shared" si="29"/>
        <v>Employee #22</v>
      </c>
      <c r="B190" s="209">
        <f t="shared" si="26"/>
        <v>1</v>
      </c>
      <c r="C190" s="222">
        <v>1</v>
      </c>
      <c r="D190" s="210" t="str">
        <f t="shared" si="27"/>
        <v>No</v>
      </c>
      <c r="E190" s="133" t="str">
        <f t="shared" si="28"/>
        <v>OK</v>
      </c>
    </row>
    <row r="191" spans="1:5" x14ac:dyDescent="0.2">
      <c r="A191" s="217" t="str">
        <f t="shared" si="29"/>
        <v>Employee #23</v>
      </c>
      <c r="B191" s="209">
        <f t="shared" si="26"/>
        <v>1</v>
      </c>
      <c r="C191" s="222">
        <v>1</v>
      </c>
      <c r="D191" s="210" t="str">
        <f t="shared" si="27"/>
        <v>No</v>
      </c>
      <c r="E191" s="133" t="str">
        <f t="shared" si="28"/>
        <v>OK</v>
      </c>
    </row>
    <row r="192" spans="1:5" x14ac:dyDescent="0.2">
      <c r="A192" s="217" t="str">
        <f t="shared" si="29"/>
        <v>Employee #24</v>
      </c>
      <c r="B192" s="209">
        <f t="shared" si="26"/>
        <v>1</v>
      </c>
      <c r="C192" s="222">
        <v>1</v>
      </c>
      <c r="D192" s="210" t="str">
        <f t="shared" si="27"/>
        <v>No</v>
      </c>
      <c r="E192" s="133" t="str">
        <f t="shared" si="28"/>
        <v>OK</v>
      </c>
    </row>
    <row r="193" spans="1:5" x14ac:dyDescent="0.2">
      <c r="A193" s="217" t="str">
        <f t="shared" si="29"/>
        <v>Employee #25</v>
      </c>
      <c r="B193" s="209">
        <f t="shared" si="26"/>
        <v>1</v>
      </c>
      <c r="C193" s="222">
        <v>1</v>
      </c>
      <c r="D193" s="210" t="str">
        <f t="shared" si="27"/>
        <v>No</v>
      </c>
      <c r="E193" s="133" t="str">
        <f t="shared" si="28"/>
        <v>OK</v>
      </c>
    </row>
    <row r="194" spans="1:5" x14ac:dyDescent="0.2">
      <c r="A194" s="217" t="str">
        <f t="shared" si="29"/>
        <v>Employee #26</v>
      </c>
      <c r="B194" s="209">
        <f t="shared" si="26"/>
        <v>1</v>
      </c>
      <c r="C194" s="222">
        <v>1</v>
      </c>
      <c r="D194" s="210" t="str">
        <f t="shared" si="27"/>
        <v>No</v>
      </c>
      <c r="E194" s="133" t="str">
        <f t="shared" si="28"/>
        <v>OK</v>
      </c>
    </row>
    <row r="195" spans="1:5" x14ac:dyDescent="0.2">
      <c r="A195" s="217" t="str">
        <f t="shared" si="29"/>
        <v>Employee #27</v>
      </c>
      <c r="B195" s="209">
        <f t="shared" si="26"/>
        <v>1</v>
      </c>
      <c r="C195" s="222">
        <v>1</v>
      </c>
      <c r="D195" s="210" t="str">
        <f t="shared" si="27"/>
        <v>No</v>
      </c>
      <c r="E195" s="133" t="str">
        <f t="shared" si="28"/>
        <v>OK</v>
      </c>
    </row>
    <row r="196" spans="1:5" x14ac:dyDescent="0.2">
      <c r="A196" s="217" t="str">
        <f t="shared" si="29"/>
        <v>Employee #28</v>
      </c>
      <c r="B196" s="209">
        <f t="shared" si="26"/>
        <v>1</v>
      </c>
      <c r="C196" s="222">
        <v>1</v>
      </c>
      <c r="D196" s="210" t="str">
        <f t="shared" si="27"/>
        <v>No</v>
      </c>
      <c r="E196" s="133" t="str">
        <f t="shared" si="28"/>
        <v>OK</v>
      </c>
    </row>
    <row r="197" spans="1:5" x14ac:dyDescent="0.2">
      <c r="A197" s="217" t="str">
        <f t="shared" si="29"/>
        <v>Employee #29</v>
      </c>
      <c r="B197" s="209">
        <f t="shared" si="26"/>
        <v>1</v>
      </c>
      <c r="C197" s="222">
        <v>1</v>
      </c>
      <c r="D197" s="210" t="str">
        <f t="shared" si="27"/>
        <v>No</v>
      </c>
      <c r="E197" s="133" t="str">
        <f t="shared" si="28"/>
        <v>OK</v>
      </c>
    </row>
    <row r="198" spans="1:5" x14ac:dyDescent="0.2">
      <c r="A198" s="217" t="str">
        <f t="shared" ref="A198:A205" si="30">IF(A78=0,"",A78)</f>
        <v>Employee #30</v>
      </c>
      <c r="B198" s="209">
        <f t="shared" si="26"/>
        <v>1</v>
      </c>
      <c r="C198" s="222">
        <v>1</v>
      </c>
      <c r="D198" s="210" t="str">
        <f t="shared" si="27"/>
        <v>No</v>
      </c>
      <c r="E198" s="133" t="str">
        <f t="shared" si="28"/>
        <v>OK</v>
      </c>
    </row>
    <row r="199" spans="1:5" x14ac:dyDescent="0.2">
      <c r="A199" s="217" t="str">
        <f t="shared" si="30"/>
        <v>Employee #31</v>
      </c>
      <c r="B199" s="209">
        <f t="shared" si="26"/>
        <v>1</v>
      </c>
      <c r="C199" s="222">
        <v>1</v>
      </c>
      <c r="D199" s="210" t="str">
        <f t="shared" si="27"/>
        <v>No</v>
      </c>
      <c r="E199" s="133" t="str">
        <f t="shared" si="28"/>
        <v>OK</v>
      </c>
    </row>
    <row r="200" spans="1:5" x14ac:dyDescent="0.2">
      <c r="A200" s="217" t="str">
        <f t="shared" si="30"/>
        <v>Employee #32</v>
      </c>
      <c r="B200" s="209">
        <f t="shared" si="26"/>
        <v>1</v>
      </c>
      <c r="C200" s="222">
        <v>1</v>
      </c>
      <c r="D200" s="210" t="str">
        <f t="shared" si="27"/>
        <v>No</v>
      </c>
      <c r="E200" s="133" t="str">
        <f t="shared" si="28"/>
        <v>OK</v>
      </c>
    </row>
    <row r="201" spans="1:5" x14ac:dyDescent="0.2">
      <c r="A201" s="217" t="str">
        <f t="shared" si="30"/>
        <v>Employee #33</v>
      </c>
      <c r="B201" s="209">
        <f t="shared" ref="B201:B222" si="31">SUMIF($A$14:$A$163,A201,$C$14:$C$163)</f>
        <v>1</v>
      </c>
      <c r="C201" s="222">
        <v>1</v>
      </c>
      <c r="D201" s="210" t="str">
        <f t="shared" si="27"/>
        <v>No</v>
      </c>
      <c r="E201" s="133" t="str">
        <f t="shared" si="28"/>
        <v>OK</v>
      </c>
    </row>
    <row r="202" spans="1:5" x14ac:dyDescent="0.2">
      <c r="A202" s="217" t="str">
        <f t="shared" si="30"/>
        <v>Employee #34</v>
      </c>
      <c r="B202" s="209">
        <f t="shared" si="31"/>
        <v>1</v>
      </c>
      <c r="C202" s="222">
        <v>1</v>
      </c>
      <c r="D202" s="210" t="str">
        <f t="shared" si="27"/>
        <v>No</v>
      </c>
      <c r="E202" s="133" t="str">
        <f t="shared" si="28"/>
        <v>OK</v>
      </c>
    </row>
    <row r="203" spans="1:5" x14ac:dyDescent="0.2">
      <c r="A203" s="217" t="str">
        <f t="shared" si="30"/>
        <v>Employee #35</v>
      </c>
      <c r="B203" s="209">
        <f t="shared" si="31"/>
        <v>1</v>
      </c>
      <c r="C203" s="222">
        <v>1</v>
      </c>
      <c r="D203" s="210" t="str">
        <f t="shared" si="27"/>
        <v>No</v>
      </c>
      <c r="E203" s="133" t="str">
        <f t="shared" si="28"/>
        <v>OK</v>
      </c>
    </row>
    <row r="204" spans="1:5" x14ac:dyDescent="0.2">
      <c r="A204" s="217" t="str">
        <f t="shared" si="30"/>
        <v>Employee #36</v>
      </c>
      <c r="B204" s="209">
        <f t="shared" si="31"/>
        <v>1</v>
      </c>
      <c r="C204" s="222">
        <v>1</v>
      </c>
      <c r="D204" s="210" t="str">
        <f t="shared" si="27"/>
        <v>No</v>
      </c>
      <c r="E204" s="133" t="str">
        <f t="shared" si="28"/>
        <v>OK</v>
      </c>
    </row>
    <row r="205" spans="1:5" x14ac:dyDescent="0.2">
      <c r="A205" s="217" t="str">
        <f t="shared" si="30"/>
        <v>Employee #37</v>
      </c>
      <c r="B205" s="209">
        <f t="shared" si="31"/>
        <v>1</v>
      </c>
      <c r="C205" s="222">
        <v>1</v>
      </c>
      <c r="D205" s="210" t="str">
        <f t="shared" si="27"/>
        <v>No</v>
      </c>
      <c r="E205" s="133" t="str">
        <f t="shared" si="28"/>
        <v>OK</v>
      </c>
    </row>
    <row r="206" spans="1:5" x14ac:dyDescent="0.2">
      <c r="A206" s="217" t="str">
        <f>IF(A98=0,"",A98)</f>
        <v>Employee #38</v>
      </c>
      <c r="B206" s="209">
        <f t="shared" si="31"/>
        <v>1</v>
      </c>
      <c r="C206" s="222">
        <v>1</v>
      </c>
      <c r="D206" s="210" t="str">
        <f t="shared" si="27"/>
        <v>No</v>
      </c>
      <c r="E206" s="133" t="str">
        <f t="shared" si="28"/>
        <v>OK</v>
      </c>
    </row>
    <row r="207" spans="1:5" x14ac:dyDescent="0.2">
      <c r="A207" s="217" t="str">
        <f>IF(A99=0,"",A99)</f>
        <v>Employee #39</v>
      </c>
      <c r="B207" s="209">
        <f t="shared" si="31"/>
        <v>1</v>
      </c>
      <c r="C207" s="222">
        <v>1</v>
      </c>
      <c r="D207" s="210" t="str">
        <f t="shared" si="27"/>
        <v>No</v>
      </c>
      <c r="E207" s="133" t="str">
        <f t="shared" si="28"/>
        <v>OK</v>
      </c>
    </row>
    <row r="208" spans="1:5" x14ac:dyDescent="0.2">
      <c r="A208" s="217" t="str">
        <f>IF(A100=0,"",A100)</f>
        <v>Employee #40</v>
      </c>
      <c r="B208" s="209">
        <f t="shared" si="31"/>
        <v>1</v>
      </c>
      <c r="C208" s="222">
        <v>1</v>
      </c>
      <c r="D208" s="210" t="str">
        <f t="shared" si="27"/>
        <v>No</v>
      </c>
      <c r="E208" s="133" t="str">
        <f t="shared" si="28"/>
        <v>OK</v>
      </c>
    </row>
    <row r="209" spans="1:5" x14ac:dyDescent="0.2">
      <c r="A209" s="217" t="str">
        <f>IF(A101=0,"",A101)</f>
        <v>Employee #41</v>
      </c>
      <c r="B209" s="209">
        <f t="shared" si="31"/>
        <v>0.5</v>
      </c>
      <c r="C209" s="222">
        <v>1</v>
      </c>
      <c r="D209" s="210" t="str">
        <f t="shared" si="27"/>
        <v>No</v>
      </c>
      <c r="E209" s="133" t="str">
        <f t="shared" si="28"/>
        <v>OK</v>
      </c>
    </row>
    <row r="210" spans="1:5" x14ac:dyDescent="0.2">
      <c r="A210" s="217" t="str">
        <f>IF(A102=0,"",A102)</f>
        <v>Employee #42</v>
      </c>
      <c r="B210" s="209">
        <f t="shared" si="31"/>
        <v>1</v>
      </c>
      <c r="C210" s="222">
        <v>1</v>
      </c>
      <c r="D210" s="210" t="str">
        <f t="shared" si="27"/>
        <v>No</v>
      </c>
      <c r="E210" s="133" t="str">
        <f t="shared" si="28"/>
        <v>OK</v>
      </c>
    </row>
    <row r="211" spans="1:5" x14ac:dyDescent="0.2">
      <c r="A211" s="217" t="str">
        <f>IF(A114=0,"",A114)</f>
        <v>Employee #43</v>
      </c>
      <c r="B211" s="209">
        <f t="shared" si="31"/>
        <v>1</v>
      </c>
      <c r="C211" s="222">
        <v>1</v>
      </c>
      <c r="D211" s="210" t="str">
        <f t="shared" si="27"/>
        <v>No</v>
      </c>
      <c r="E211" s="133" t="str">
        <f t="shared" si="28"/>
        <v>OK</v>
      </c>
    </row>
    <row r="212" spans="1:5" x14ac:dyDescent="0.2">
      <c r="A212" s="217" t="str">
        <f>IF(A115=0,"",A115)</f>
        <v>Employee #44</v>
      </c>
      <c r="B212" s="209">
        <f t="shared" si="31"/>
        <v>1</v>
      </c>
      <c r="C212" s="222">
        <v>1</v>
      </c>
      <c r="D212" s="210" t="str">
        <f t="shared" si="27"/>
        <v>No</v>
      </c>
      <c r="E212" s="133" t="str">
        <f t="shared" si="28"/>
        <v>OK</v>
      </c>
    </row>
    <row r="213" spans="1:5" x14ac:dyDescent="0.2">
      <c r="A213" s="217" t="str">
        <f>IF(A116=0,"",A116)</f>
        <v>Employee #45</v>
      </c>
      <c r="B213" s="209">
        <f t="shared" si="31"/>
        <v>1</v>
      </c>
      <c r="C213" s="222">
        <v>1</v>
      </c>
      <c r="D213" s="210" t="str">
        <f t="shared" si="27"/>
        <v>No</v>
      </c>
      <c r="E213" s="133" t="str">
        <f t="shared" si="28"/>
        <v>OK</v>
      </c>
    </row>
    <row r="214" spans="1:5" x14ac:dyDescent="0.2">
      <c r="A214" s="217" t="str">
        <f t="shared" ref="A214:A222" si="32">IF(A144=0,"",A144)</f>
        <v>Employee #46</v>
      </c>
      <c r="B214" s="209">
        <f t="shared" si="31"/>
        <v>1</v>
      </c>
      <c r="C214" s="222">
        <v>1</v>
      </c>
      <c r="D214" s="210" t="str">
        <f t="shared" si="27"/>
        <v>No</v>
      </c>
      <c r="E214" s="133" t="str">
        <f t="shared" si="28"/>
        <v>OK</v>
      </c>
    </row>
    <row r="215" spans="1:5" x14ac:dyDescent="0.2">
      <c r="A215" s="217" t="str">
        <f t="shared" si="32"/>
        <v>Employee #47</v>
      </c>
      <c r="B215" s="209">
        <f t="shared" si="31"/>
        <v>1</v>
      </c>
      <c r="C215" s="222">
        <v>1</v>
      </c>
      <c r="D215" s="210" t="str">
        <f t="shared" si="27"/>
        <v>No</v>
      </c>
      <c r="E215" s="133" t="str">
        <f t="shared" si="28"/>
        <v>OK</v>
      </c>
    </row>
    <row r="216" spans="1:5" x14ac:dyDescent="0.2">
      <c r="A216" s="217" t="str">
        <f t="shared" si="32"/>
        <v>Employee #48</v>
      </c>
      <c r="B216" s="209">
        <f t="shared" si="31"/>
        <v>1</v>
      </c>
      <c r="C216" s="222">
        <v>1</v>
      </c>
      <c r="D216" s="210" t="str">
        <f t="shared" si="27"/>
        <v>No</v>
      </c>
      <c r="E216" s="133" t="str">
        <f t="shared" si="28"/>
        <v>OK</v>
      </c>
    </row>
    <row r="217" spans="1:5" x14ac:dyDescent="0.2">
      <c r="A217" s="217" t="str">
        <f t="shared" si="32"/>
        <v>Employee #49</v>
      </c>
      <c r="B217" s="209">
        <f t="shared" si="31"/>
        <v>0.5</v>
      </c>
      <c r="C217" s="222">
        <v>1</v>
      </c>
      <c r="D217" s="210" t="str">
        <f t="shared" si="27"/>
        <v>No</v>
      </c>
      <c r="E217" s="133" t="str">
        <f t="shared" si="28"/>
        <v>OK</v>
      </c>
    </row>
    <row r="218" spans="1:5" x14ac:dyDescent="0.2">
      <c r="A218" s="217" t="str">
        <f t="shared" si="32"/>
        <v>Employee #50</v>
      </c>
      <c r="B218" s="209">
        <f t="shared" si="31"/>
        <v>0.5</v>
      </c>
      <c r="C218" s="222">
        <v>1</v>
      </c>
      <c r="D218" s="210" t="str">
        <f t="shared" si="27"/>
        <v>No</v>
      </c>
      <c r="E218" s="133" t="str">
        <f t="shared" si="28"/>
        <v>OK</v>
      </c>
    </row>
    <row r="219" spans="1:5" x14ac:dyDescent="0.2">
      <c r="A219" s="217" t="str">
        <f t="shared" si="32"/>
        <v>Employee #51</v>
      </c>
      <c r="B219" s="209">
        <f t="shared" si="31"/>
        <v>1</v>
      </c>
      <c r="C219" s="222">
        <v>1</v>
      </c>
      <c r="D219" s="210" t="str">
        <f t="shared" si="27"/>
        <v>No</v>
      </c>
      <c r="E219" s="133" t="str">
        <f t="shared" si="28"/>
        <v>OK</v>
      </c>
    </row>
    <row r="220" spans="1:5" x14ac:dyDescent="0.2">
      <c r="A220" s="217" t="str">
        <f t="shared" si="32"/>
        <v>Employee #52</v>
      </c>
      <c r="B220" s="209">
        <f t="shared" si="31"/>
        <v>1</v>
      </c>
      <c r="C220" s="222">
        <v>1</v>
      </c>
      <c r="D220" s="210" t="str">
        <f t="shared" si="27"/>
        <v>No</v>
      </c>
      <c r="E220" s="133" t="str">
        <f t="shared" si="28"/>
        <v>OK</v>
      </c>
    </row>
    <row r="221" spans="1:5" x14ac:dyDescent="0.2">
      <c r="A221" s="217" t="str">
        <f t="shared" si="32"/>
        <v>Employee #53</v>
      </c>
      <c r="B221" s="209">
        <f t="shared" si="31"/>
        <v>0.5</v>
      </c>
      <c r="C221" s="222">
        <v>1</v>
      </c>
      <c r="D221" s="210" t="str">
        <f t="shared" si="27"/>
        <v>No</v>
      </c>
      <c r="E221" s="133" t="str">
        <f t="shared" si="28"/>
        <v>OK</v>
      </c>
    </row>
    <row r="222" spans="1:5" x14ac:dyDescent="0.2">
      <c r="A222" s="217" t="str">
        <f t="shared" si="32"/>
        <v>Employee #54</v>
      </c>
      <c r="B222" s="209">
        <f t="shared" si="31"/>
        <v>1</v>
      </c>
      <c r="C222" s="222">
        <v>1</v>
      </c>
      <c r="D222" s="210" t="str">
        <f t="shared" si="27"/>
        <v>No</v>
      </c>
      <c r="E222" s="133" t="str">
        <f t="shared" si="28"/>
        <v>OK</v>
      </c>
    </row>
  </sheetData>
  <mergeCells count="5">
    <mergeCell ref="A129:H129"/>
    <mergeCell ref="A130:H130"/>
    <mergeCell ref="A164:H164"/>
    <mergeCell ref="A165:H165"/>
    <mergeCell ref="A128:H128"/>
  </mergeCells>
  <phoneticPr fontId="0" type="noConversion"/>
  <pageMargins left="0.25" right="0.25" top="0.5" bottom="0.25" header="0.5" footer="0.5"/>
  <pageSetup scale="77" fitToHeight="0" orientation="portrait" r:id="rId1"/>
  <headerFooter alignWithMargins="0"/>
  <rowBreaks count="1" manualBreakCount="1">
    <brk id="112" max="1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T52"/>
  <sheetViews>
    <sheetView showGridLines="0" topLeftCell="A15" workbookViewId="0">
      <selection activeCell="R22" sqref="R22"/>
    </sheetView>
  </sheetViews>
  <sheetFormatPr defaultRowHeight="11.25" x14ac:dyDescent="0.2"/>
  <cols>
    <col min="4" max="4" width="29.5" customWidth="1"/>
    <col min="5" max="5" width="12.83203125" style="29" customWidth="1"/>
    <col min="6" max="6" width="11.33203125" customWidth="1"/>
    <col min="7" max="7" width="15" customWidth="1"/>
    <col min="12" max="12" width="14.6640625" customWidth="1"/>
    <col min="13" max="13" width="11.5" bestFit="1" customWidth="1"/>
    <col min="14" max="14" width="13.5" customWidth="1"/>
    <col min="15" max="15" width="16.5" customWidth="1"/>
    <col min="16" max="16" width="12.33203125" customWidth="1"/>
    <col min="17" max="17" width="14.83203125" customWidth="1"/>
    <col min="18" max="18" width="12.5" customWidth="1"/>
    <col min="20" max="20" width="10.5" bestFit="1" customWidth="1"/>
  </cols>
  <sheetData>
    <row r="1" spans="1:20" ht="12" x14ac:dyDescent="0.2">
      <c r="A1" s="20"/>
      <c r="I1" s="22" t="s">
        <v>10</v>
      </c>
    </row>
    <row r="2" spans="1:20" ht="12" x14ac:dyDescent="0.2">
      <c r="A2" s="21"/>
    </row>
    <row r="3" spans="1:20" ht="12.75" x14ac:dyDescent="0.2">
      <c r="A3" s="289" t="s">
        <v>25</v>
      </c>
      <c r="B3" s="289"/>
      <c r="C3" s="289"/>
      <c r="D3" s="289"/>
      <c r="E3" s="289"/>
      <c r="F3" s="289"/>
      <c r="G3" s="289"/>
      <c r="H3" s="289"/>
      <c r="I3" s="289"/>
    </row>
    <row r="4" spans="1:20" ht="24.75" customHeight="1" x14ac:dyDescent="0.2">
      <c r="A4" s="290" t="s">
        <v>254</v>
      </c>
      <c r="B4" s="290"/>
      <c r="C4" s="290"/>
      <c r="D4" s="290"/>
      <c r="E4" s="290"/>
      <c r="F4" s="290"/>
      <c r="G4" s="290"/>
      <c r="H4" s="290"/>
      <c r="I4" s="290"/>
    </row>
    <row r="5" spans="1:20" ht="45" x14ac:dyDescent="0.2">
      <c r="A5" s="291" t="s">
        <v>1</v>
      </c>
      <c r="B5" s="292"/>
      <c r="C5" s="292"/>
      <c r="D5" s="293"/>
      <c r="E5" s="54" t="s">
        <v>33</v>
      </c>
    </row>
    <row r="6" spans="1:20" x14ac:dyDescent="0.2">
      <c r="A6" s="39" t="s">
        <v>145</v>
      </c>
      <c r="E6" s="149"/>
    </row>
    <row r="7" spans="1:20" x14ac:dyDescent="0.2">
      <c r="A7" s="39" t="s">
        <v>146</v>
      </c>
      <c r="E7" s="149"/>
    </row>
    <row r="8" spans="1:20" x14ac:dyDescent="0.2">
      <c r="A8" s="40"/>
      <c r="E8" s="45"/>
    </row>
    <row r="9" spans="1:20" x14ac:dyDescent="0.2">
      <c r="A9" s="40"/>
      <c r="E9" s="45"/>
    </row>
    <row r="10" spans="1:20" x14ac:dyDescent="0.2">
      <c r="D10" s="16" t="s">
        <v>147</v>
      </c>
      <c r="E10" s="226">
        <f>SUM(E6:E9)</f>
        <v>0</v>
      </c>
    </row>
    <row r="11" spans="1:20" ht="17.25" customHeight="1" x14ac:dyDescent="0.2">
      <c r="A11" s="16"/>
      <c r="B11" s="225"/>
      <c r="C11" s="22"/>
      <c r="E11"/>
    </row>
    <row r="12" spans="1:20" ht="12.75" x14ac:dyDescent="0.2">
      <c r="A12" s="285" t="s">
        <v>40</v>
      </c>
      <c r="B12" s="285"/>
      <c r="C12" s="285"/>
      <c r="D12" s="285"/>
      <c r="E12" s="285"/>
      <c r="F12" s="285"/>
      <c r="G12" s="285"/>
      <c r="H12" s="285"/>
      <c r="I12" s="285"/>
    </row>
    <row r="13" spans="1:20" x14ac:dyDescent="0.2">
      <c r="A13" s="12" t="s">
        <v>29</v>
      </c>
    </row>
    <row r="14" spans="1:20" x14ac:dyDescent="0.2">
      <c r="A14" s="122" t="s">
        <v>170</v>
      </c>
      <c r="E14" s="30"/>
      <c r="M14" s="282" t="s">
        <v>240</v>
      </c>
      <c r="N14" s="283"/>
      <c r="O14" s="283"/>
      <c r="P14" s="283"/>
      <c r="Q14" s="283"/>
      <c r="R14" s="284"/>
    </row>
    <row r="15" spans="1:20" ht="22.5" x14ac:dyDescent="0.2">
      <c r="A15" s="286" t="s">
        <v>188</v>
      </c>
      <c r="B15" s="287"/>
      <c r="C15" s="287"/>
      <c r="D15" s="288"/>
      <c r="E15" s="56" t="s">
        <v>38</v>
      </c>
      <c r="M15" s="213" t="str">
        <f>'.2 Direct &amp; Indirect Personnel'!$D$13</f>
        <v>DESIGNER</v>
      </c>
      <c r="N15" s="213" t="str">
        <f>'.2 Direct &amp; Indirect Personnel'!$D$38</f>
        <v>CUSTOMER CONSULTANT</v>
      </c>
      <c r="O15" s="213" t="str">
        <f>'.2 Direct &amp; Indirect Personnel'!$D$52</f>
        <v>CONSTRUCTION WORKER</v>
      </c>
      <c r="P15" s="213" t="str">
        <f>'.2 Direct &amp; Indirect Personnel'!$D$77</f>
        <v>INSPECTOR</v>
      </c>
      <c r="Q15" s="213" t="str">
        <f>'.2 Direct &amp; Indirect Personnel'!$D$97</f>
        <v>ASSISTANT OR STUDENT TECH</v>
      </c>
      <c r="R15" s="213" t="str">
        <f>'.2 Direct &amp; Indirect Personnel'!$D$113</f>
        <v>SITE MANAGER</v>
      </c>
      <c r="S15" s="17" t="s">
        <v>242</v>
      </c>
      <c r="T15" s="17" t="s">
        <v>244</v>
      </c>
    </row>
    <row r="16" spans="1:20" x14ac:dyDescent="0.2">
      <c r="A16" s="164" t="s">
        <v>192</v>
      </c>
      <c r="B16" s="164"/>
      <c r="C16" s="164"/>
      <c r="D16" s="164"/>
      <c r="E16" s="165" t="s">
        <v>156</v>
      </c>
      <c r="F16" s="164" t="s">
        <v>157</v>
      </c>
      <c r="M16" s="212" t="s">
        <v>241</v>
      </c>
      <c r="N16" s="212" t="s">
        <v>241</v>
      </c>
      <c r="O16" s="212" t="s">
        <v>241</v>
      </c>
      <c r="P16" s="212" t="s">
        <v>241</v>
      </c>
      <c r="Q16" s="212" t="s">
        <v>243</v>
      </c>
      <c r="R16" s="212" t="s">
        <v>241</v>
      </c>
      <c r="S16" s="210">
        <f>COUNTIF(M16:R16,"Yes")</f>
        <v>5</v>
      </c>
      <c r="T16" s="154">
        <f>IFERROR(E16/S16,0)</f>
        <v>0</v>
      </c>
    </row>
    <row r="17" spans="1:20" x14ac:dyDescent="0.2">
      <c r="A17" s="164" t="s">
        <v>193</v>
      </c>
      <c r="B17" s="164"/>
      <c r="C17" s="164"/>
      <c r="D17" s="164"/>
      <c r="E17" s="208" t="s">
        <v>229</v>
      </c>
      <c r="F17" s="164" t="s">
        <v>162</v>
      </c>
      <c r="M17" s="212" t="s">
        <v>243</v>
      </c>
      <c r="N17" s="212" t="s">
        <v>241</v>
      </c>
      <c r="O17" s="212" t="s">
        <v>241</v>
      </c>
      <c r="P17" s="212" t="s">
        <v>241</v>
      </c>
      <c r="Q17" s="212" t="s">
        <v>243</v>
      </c>
      <c r="R17" s="212" t="s">
        <v>241</v>
      </c>
      <c r="S17" s="210">
        <f t="shared" ref="S17:S18" si="0">COUNTIF(M17:R17,"Yes")</f>
        <v>4</v>
      </c>
      <c r="T17" s="154">
        <f t="shared" ref="T17:T18" si="1">IFERROR(E17/S17,0)</f>
        <v>0</v>
      </c>
    </row>
    <row r="18" spans="1:20" x14ac:dyDescent="0.2">
      <c r="A18" s="164" t="s">
        <v>158</v>
      </c>
      <c r="B18" s="164"/>
      <c r="C18" s="164"/>
      <c r="D18" s="164"/>
      <c r="E18" s="165" t="s">
        <v>159</v>
      </c>
      <c r="F18" s="164" t="s">
        <v>160</v>
      </c>
      <c r="M18" s="212" t="s">
        <v>241</v>
      </c>
      <c r="N18" s="212" t="s">
        <v>241</v>
      </c>
      <c r="O18" s="212" t="s">
        <v>241</v>
      </c>
      <c r="P18" s="212" t="s">
        <v>241</v>
      </c>
      <c r="Q18" s="212" t="s">
        <v>241</v>
      </c>
      <c r="R18" s="212" t="s">
        <v>241</v>
      </c>
      <c r="S18" s="210">
        <f t="shared" si="0"/>
        <v>6</v>
      </c>
      <c r="T18" s="154">
        <f t="shared" si="1"/>
        <v>0</v>
      </c>
    </row>
    <row r="19" spans="1:20" x14ac:dyDescent="0.2">
      <c r="E19" s="19"/>
    </row>
    <row r="20" spans="1:20" ht="18.75" customHeight="1" x14ac:dyDescent="0.2">
      <c r="D20" s="16" t="s">
        <v>163</v>
      </c>
      <c r="E20" s="155">
        <f>SUM(E16:E19)</f>
        <v>0</v>
      </c>
      <c r="F20" s="12" t="s">
        <v>161</v>
      </c>
      <c r="M20" s="150">
        <f>SUMIF(M16:M19,"Yes",$T$16:$T$19)</f>
        <v>0</v>
      </c>
      <c r="N20" s="150">
        <f t="shared" ref="N20:R20" si="2">SUMIF(N16:N19,"Yes",$T$16:$T$19)</f>
        <v>0</v>
      </c>
      <c r="O20" s="150">
        <f t="shared" si="2"/>
        <v>0</v>
      </c>
      <c r="P20" s="150">
        <f t="shared" si="2"/>
        <v>0</v>
      </c>
      <c r="Q20" s="150">
        <f t="shared" si="2"/>
        <v>0</v>
      </c>
      <c r="R20" s="150">
        <f t="shared" si="2"/>
        <v>0</v>
      </c>
      <c r="S20" s="154">
        <f>E20-SUM(M20:R20)</f>
        <v>0</v>
      </c>
    </row>
    <row r="21" spans="1:20" ht="18.75" customHeight="1" x14ac:dyDescent="0.2">
      <c r="D21" s="16"/>
      <c r="E21" s="227"/>
      <c r="F21" s="12"/>
      <c r="M21" s="228"/>
      <c r="N21" s="228"/>
      <c r="O21" s="228"/>
      <c r="P21" s="228"/>
      <c r="Q21" s="228"/>
      <c r="R21" s="228"/>
      <c r="S21" s="154"/>
    </row>
    <row r="22" spans="1:20" ht="18.75" customHeight="1" x14ac:dyDescent="0.2">
      <c r="D22" s="16" t="s">
        <v>267</v>
      </c>
      <c r="E22" s="155">
        <f>SUM(E18:E21)</f>
        <v>0</v>
      </c>
      <c r="F22" s="22" t="s">
        <v>278</v>
      </c>
      <c r="M22" s="228"/>
      <c r="N22" s="228"/>
      <c r="O22" s="228"/>
      <c r="P22" s="228"/>
      <c r="Q22" s="228"/>
      <c r="R22" s="228"/>
      <c r="S22" s="154"/>
    </row>
    <row r="23" spans="1:20" ht="18.75" customHeight="1" x14ac:dyDescent="0.2">
      <c r="D23" s="16" t="s">
        <v>256</v>
      </c>
      <c r="E23" s="151">
        <f>'.2 Direct &amp; Indirect Personnel'!$J$126</f>
        <v>72420</v>
      </c>
      <c r="F23" s="12"/>
    </row>
    <row r="24" spans="1:20" ht="18.75" customHeight="1" thickBot="1" x14ac:dyDescent="0.25">
      <c r="D24" s="16" t="s">
        <v>268</v>
      </c>
      <c r="E24" s="142">
        <f>IFERROR(E22/E23,0)</f>
        <v>0</v>
      </c>
      <c r="F24" s="12"/>
    </row>
    <row r="25" spans="1:20" ht="12" thickTop="1" x14ac:dyDescent="0.2"/>
    <row r="26" spans="1:20" x14ac:dyDescent="0.2">
      <c r="A26" s="55"/>
      <c r="B26" s="55"/>
      <c r="C26" s="55"/>
      <c r="D26" s="55"/>
      <c r="E26" s="42"/>
      <c r="F26" s="55"/>
      <c r="G26" s="55"/>
      <c r="H26" s="55"/>
      <c r="I26" s="55"/>
    </row>
    <row r="30" spans="1:20" ht="12.75" x14ac:dyDescent="0.2">
      <c r="A30" s="285" t="s">
        <v>255</v>
      </c>
      <c r="B30" s="285"/>
      <c r="C30" s="285"/>
      <c r="D30" s="285"/>
      <c r="E30" s="285"/>
      <c r="F30" s="285"/>
      <c r="G30" s="285"/>
      <c r="H30" s="285"/>
      <c r="I30" s="285"/>
    </row>
    <row r="31" spans="1:20" x14ac:dyDescent="0.2">
      <c r="A31" s="12" t="s">
        <v>36</v>
      </c>
    </row>
    <row r="32" spans="1:20" x14ac:dyDescent="0.2">
      <c r="A32" s="122" t="s">
        <v>170</v>
      </c>
      <c r="E32" s="30"/>
    </row>
    <row r="33" spans="1:20" x14ac:dyDescent="0.2">
      <c r="A33" s="122"/>
      <c r="E33" s="30"/>
      <c r="F33" s="252" t="s">
        <v>290</v>
      </c>
      <c r="M33" s="282" t="s">
        <v>240</v>
      </c>
      <c r="N33" s="283"/>
      <c r="O33" s="283"/>
      <c r="P33" s="283"/>
      <c r="Q33" s="283"/>
      <c r="R33" s="284"/>
    </row>
    <row r="34" spans="1:20" ht="33.75" x14ac:dyDescent="0.2">
      <c r="A34" s="286" t="s">
        <v>1</v>
      </c>
      <c r="B34" s="287"/>
      <c r="C34" s="287"/>
      <c r="D34" s="288"/>
      <c r="E34" s="56" t="s">
        <v>38</v>
      </c>
      <c r="F34" s="52" t="s">
        <v>226</v>
      </c>
      <c r="G34" s="52" t="s">
        <v>32</v>
      </c>
      <c r="M34" s="213" t="str">
        <f>'.2 Direct &amp; Indirect Personnel'!$D$13</f>
        <v>DESIGNER</v>
      </c>
      <c r="N34" s="213" t="str">
        <f>'.2 Direct &amp; Indirect Personnel'!$D$38</f>
        <v>CUSTOMER CONSULTANT</v>
      </c>
      <c r="O34" s="213" t="str">
        <f>'.2 Direct &amp; Indirect Personnel'!$D$52</f>
        <v>CONSTRUCTION WORKER</v>
      </c>
      <c r="P34" s="213" t="str">
        <f>'.2 Direct &amp; Indirect Personnel'!$D$77</f>
        <v>INSPECTOR</v>
      </c>
      <c r="Q34" s="213" t="str">
        <f>'.2 Direct &amp; Indirect Personnel'!$D$97</f>
        <v>ASSISTANT OR STUDENT TECH</v>
      </c>
      <c r="R34" s="213" t="str">
        <f>'.2 Direct &amp; Indirect Personnel'!$D$113</f>
        <v>SITE MANAGER</v>
      </c>
      <c r="S34" s="17" t="s">
        <v>242</v>
      </c>
      <c r="T34" s="17" t="s">
        <v>244</v>
      </c>
    </row>
    <row r="35" spans="1:20" x14ac:dyDescent="0.2">
      <c r="A35" s="164" t="s">
        <v>6</v>
      </c>
      <c r="B35" s="164"/>
      <c r="C35" s="164"/>
      <c r="D35" s="164"/>
      <c r="E35" s="165">
        <v>23500</v>
      </c>
      <c r="F35" s="166">
        <v>0.25</v>
      </c>
      <c r="G35" s="154">
        <f t="shared" ref="G35:G41" si="3">E35*F35</f>
        <v>5875</v>
      </c>
      <c r="M35" s="212" t="s">
        <v>241</v>
      </c>
      <c r="N35" s="212" t="s">
        <v>241</v>
      </c>
      <c r="O35" s="212" t="s">
        <v>243</v>
      </c>
      <c r="P35" s="212" t="s">
        <v>241</v>
      </c>
      <c r="Q35" s="212" t="s">
        <v>241</v>
      </c>
      <c r="R35" s="212" t="s">
        <v>241</v>
      </c>
      <c r="S35" s="210">
        <f>COUNTIF(M35:R35,"Yes")</f>
        <v>5</v>
      </c>
      <c r="T35" s="154">
        <f>IFERROR(G35/S35,0)</f>
        <v>1175</v>
      </c>
    </row>
    <row r="36" spans="1:20" x14ac:dyDescent="0.2">
      <c r="A36" s="207" t="s">
        <v>227</v>
      </c>
      <c r="B36" s="164"/>
      <c r="C36" s="164"/>
      <c r="D36" s="164"/>
      <c r="E36" s="165">
        <v>20000</v>
      </c>
      <c r="F36" s="166">
        <v>0.25</v>
      </c>
      <c r="G36" s="154">
        <f t="shared" si="3"/>
        <v>5000</v>
      </c>
      <c r="M36" s="212" t="s">
        <v>241</v>
      </c>
      <c r="N36" s="212" t="s">
        <v>241</v>
      </c>
      <c r="O36" s="212" t="s">
        <v>243</v>
      </c>
      <c r="P36" s="212" t="s">
        <v>241</v>
      </c>
      <c r="Q36" s="212" t="s">
        <v>241</v>
      </c>
      <c r="R36" s="212" t="s">
        <v>241</v>
      </c>
      <c r="S36" s="210">
        <f t="shared" ref="S36:S37" si="4">COUNTIF(M36:R36,"Yes")</f>
        <v>5</v>
      </c>
      <c r="T36" s="154">
        <f t="shared" ref="T36:T41" si="5">IFERROR(G36/S36,0)</f>
        <v>1000</v>
      </c>
    </row>
    <row r="37" spans="1:20" x14ac:dyDescent="0.2">
      <c r="A37" s="164" t="s">
        <v>34</v>
      </c>
      <c r="B37" s="164"/>
      <c r="C37" s="164"/>
      <c r="D37" s="164"/>
      <c r="E37" s="165">
        <v>27500</v>
      </c>
      <c r="F37" s="166">
        <v>0.25</v>
      </c>
      <c r="G37" s="154">
        <f t="shared" si="3"/>
        <v>6875</v>
      </c>
      <c r="M37" s="212" t="s">
        <v>241</v>
      </c>
      <c r="N37" s="212" t="s">
        <v>241</v>
      </c>
      <c r="O37" s="212" t="s">
        <v>241</v>
      </c>
      <c r="P37" s="212" t="s">
        <v>241</v>
      </c>
      <c r="Q37" s="212" t="s">
        <v>241</v>
      </c>
      <c r="R37" s="212" t="s">
        <v>241</v>
      </c>
      <c r="S37" s="210">
        <f t="shared" si="4"/>
        <v>6</v>
      </c>
      <c r="T37" s="154">
        <f t="shared" si="5"/>
        <v>1145.8333333333333</v>
      </c>
    </row>
    <row r="38" spans="1:20" x14ac:dyDescent="0.2">
      <c r="A38" s="164" t="s">
        <v>154</v>
      </c>
      <c r="B38" s="164"/>
      <c r="C38" s="164"/>
      <c r="D38" s="164"/>
      <c r="E38" s="165">
        <v>27085</v>
      </c>
      <c r="F38" s="166">
        <v>0.25</v>
      </c>
      <c r="G38" s="154">
        <f t="shared" si="3"/>
        <v>6771.25</v>
      </c>
      <c r="M38" s="212" t="s">
        <v>241</v>
      </c>
      <c r="N38" s="212" t="s">
        <v>241</v>
      </c>
      <c r="O38" s="212" t="s">
        <v>241</v>
      </c>
      <c r="P38" s="212" t="s">
        <v>241</v>
      </c>
      <c r="Q38" s="212" t="s">
        <v>241</v>
      </c>
      <c r="R38" s="212" t="s">
        <v>241</v>
      </c>
      <c r="S38" s="210">
        <f t="shared" ref="S38:S41" si="6">COUNTIF(M38:R38,"Yes")</f>
        <v>6</v>
      </c>
      <c r="T38" s="154">
        <f t="shared" si="5"/>
        <v>1128.5416666666667</v>
      </c>
    </row>
    <row r="39" spans="1:20" x14ac:dyDescent="0.2">
      <c r="A39" s="164" t="s">
        <v>155</v>
      </c>
      <c r="B39" s="164"/>
      <c r="C39" s="164"/>
      <c r="D39" s="164"/>
      <c r="E39" s="165">
        <v>35012</v>
      </c>
      <c r="F39" s="166">
        <v>0.25</v>
      </c>
      <c r="G39" s="154">
        <f t="shared" si="3"/>
        <v>8753</v>
      </c>
      <c r="M39" s="212" t="s">
        <v>241</v>
      </c>
      <c r="N39" s="212" t="s">
        <v>241</v>
      </c>
      <c r="O39" s="212" t="s">
        <v>241</v>
      </c>
      <c r="P39" s="212" t="s">
        <v>241</v>
      </c>
      <c r="Q39" s="212" t="s">
        <v>241</v>
      </c>
      <c r="R39" s="212" t="s">
        <v>241</v>
      </c>
      <c r="S39" s="210">
        <f t="shared" si="6"/>
        <v>6</v>
      </c>
      <c r="T39" s="154">
        <f t="shared" si="5"/>
        <v>1458.8333333333333</v>
      </c>
    </row>
    <row r="40" spans="1:20" x14ac:dyDescent="0.2">
      <c r="A40" s="164" t="s">
        <v>164</v>
      </c>
      <c r="B40" s="164"/>
      <c r="C40" s="164"/>
      <c r="D40" s="164"/>
      <c r="E40" s="165">
        <v>35102</v>
      </c>
      <c r="F40" s="166">
        <v>0.25</v>
      </c>
      <c r="G40" s="154">
        <f t="shared" si="3"/>
        <v>8775.5</v>
      </c>
      <c r="M40" s="212" t="s">
        <v>241</v>
      </c>
      <c r="N40" s="212" t="s">
        <v>241</v>
      </c>
      <c r="O40" s="212" t="s">
        <v>243</v>
      </c>
      <c r="P40" s="212" t="s">
        <v>241</v>
      </c>
      <c r="Q40" s="212" t="s">
        <v>241</v>
      </c>
      <c r="R40" s="212" t="s">
        <v>241</v>
      </c>
      <c r="S40" s="210">
        <f t="shared" si="6"/>
        <v>5</v>
      </c>
      <c r="T40" s="154">
        <f t="shared" si="5"/>
        <v>1755.1</v>
      </c>
    </row>
    <row r="41" spans="1:20" x14ac:dyDescent="0.2">
      <c r="A41" s="164" t="s">
        <v>37</v>
      </c>
      <c r="B41" s="164"/>
      <c r="C41" s="164"/>
      <c r="D41" s="164"/>
      <c r="E41" s="167">
        <v>59050</v>
      </c>
      <c r="F41" s="166">
        <v>0.25</v>
      </c>
      <c r="G41" s="154">
        <f t="shared" si="3"/>
        <v>14762.5</v>
      </c>
      <c r="M41" s="212" t="s">
        <v>241</v>
      </c>
      <c r="N41" s="212" t="s">
        <v>241</v>
      </c>
      <c r="O41" s="212" t="s">
        <v>241</v>
      </c>
      <c r="P41" s="212" t="s">
        <v>241</v>
      </c>
      <c r="Q41" s="212" t="s">
        <v>241</v>
      </c>
      <c r="R41" s="212" t="s">
        <v>241</v>
      </c>
      <c r="S41" s="210">
        <f t="shared" si="6"/>
        <v>6</v>
      </c>
      <c r="T41" s="154">
        <f t="shared" si="5"/>
        <v>2460.4166666666665</v>
      </c>
    </row>
    <row r="42" spans="1:20" x14ac:dyDescent="0.2">
      <c r="E42" s="46"/>
    </row>
    <row r="43" spans="1:20" x14ac:dyDescent="0.2">
      <c r="A43" s="22" t="s">
        <v>39</v>
      </c>
    </row>
    <row r="44" spans="1:20" ht="20.100000000000001" customHeight="1" x14ac:dyDescent="0.2">
      <c r="B44" s="294" t="s">
        <v>228</v>
      </c>
      <c r="C44" s="295"/>
      <c r="D44" s="295"/>
      <c r="E44" s="295"/>
      <c r="F44" s="295"/>
      <c r="G44" s="296"/>
    </row>
    <row r="45" spans="1:20" ht="20.100000000000001" customHeight="1" x14ac:dyDescent="0.2">
      <c r="B45" s="297"/>
      <c r="C45" s="298"/>
      <c r="D45" s="298"/>
      <c r="E45" s="298"/>
      <c r="F45" s="298"/>
      <c r="G45" s="299"/>
      <c r="H45" s="253" t="s">
        <v>290</v>
      </c>
    </row>
    <row r="46" spans="1:20" ht="20.100000000000001" customHeight="1" x14ac:dyDescent="0.2">
      <c r="B46" s="300"/>
      <c r="C46" s="301"/>
      <c r="D46" s="301"/>
      <c r="E46" s="301"/>
      <c r="F46" s="301"/>
      <c r="G46" s="302"/>
    </row>
    <row r="47" spans="1:20" x14ac:dyDescent="0.2">
      <c r="B47" s="49"/>
      <c r="C47" s="49"/>
      <c r="D47" s="49"/>
      <c r="E47" s="49"/>
      <c r="F47" s="49"/>
      <c r="G47" s="49"/>
    </row>
    <row r="48" spans="1:20" ht="18.75" customHeight="1" x14ac:dyDescent="0.2">
      <c r="F48" s="16" t="s">
        <v>258</v>
      </c>
      <c r="G48" s="155">
        <f>SUM(G35:G42)</f>
        <v>56812.25</v>
      </c>
      <c r="H48" s="22" t="s">
        <v>278</v>
      </c>
      <c r="M48" s="150">
        <f>SUMIF(M35:M47,"Yes",$T$35:$T$47)</f>
        <v>10123.724999999999</v>
      </c>
      <c r="N48" s="150">
        <f t="shared" ref="N48:R48" si="7">SUMIF(N35:N47,"Yes",$T$35:$T$47)</f>
        <v>10123.724999999999</v>
      </c>
      <c r="O48" s="150">
        <f t="shared" si="7"/>
        <v>6193.625</v>
      </c>
      <c r="P48" s="150">
        <f t="shared" si="7"/>
        <v>10123.724999999999</v>
      </c>
      <c r="Q48" s="150">
        <f t="shared" si="7"/>
        <v>10123.724999999999</v>
      </c>
      <c r="R48" s="150">
        <f t="shared" si="7"/>
        <v>10123.724999999999</v>
      </c>
      <c r="S48" s="154">
        <f>G48-SUM(M48:R48)</f>
        <v>0</v>
      </c>
    </row>
    <row r="49" spans="1:19" ht="18.75" customHeight="1" x14ac:dyDescent="0.2">
      <c r="F49" s="16" t="s">
        <v>256</v>
      </c>
      <c r="G49" s="151">
        <f>'.2 Direct &amp; Indirect Personnel'!$J$126</f>
        <v>72420</v>
      </c>
      <c r="M49" s="151">
        <f>'.2 Direct &amp; Indirect Personnel'!$J$32</f>
        <v>20387</v>
      </c>
      <c r="N49" s="151">
        <f>'.2 Direct &amp; Indirect Personnel'!$J$45</f>
        <v>3412</v>
      </c>
      <c r="O49" s="151">
        <f>'.2 Direct &amp; Indirect Personnel'!$J$70</f>
        <v>22178</v>
      </c>
      <c r="P49" s="151">
        <f>'.2 Direct &amp; Indirect Personnel'!$J$90</f>
        <v>13648</v>
      </c>
      <c r="Q49" s="151">
        <f>'.2 Direct &amp; Indirect Personnel'!$J$107</f>
        <v>7677</v>
      </c>
      <c r="R49" s="151">
        <f>'.2 Direct &amp; Indirect Personnel'!$J$121</f>
        <v>5118</v>
      </c>
      <c r="S49" s="151">
        <f>G49-SUM(M49:R49)</f>
        <v>0</v>
      </c>
    </row>
    <row r="50" spans="1:19" ht="18.75" customHeight="1" thickBot="1" x14ac:dyDescent="0.25">
      <c r="F50" s="16" t="s">
        <v>269</v>
      </c>
      <c r="G50" s="142">
        <f>IFERROR(G48/G49,0)</f>
        <v>0.78448287765810554</v>
      </c>
      <c r="M50" s="142">
        <f t="shared" ref="M50:R50" si="8">IFERROR(M48/M49,0)</f>
        <v>0.49657747584244855</v>
      </c>
      <c r="N50" s="142">
        <f t="shared" si="8"/>
        <v>2.9670940797186396</v>
      </c>
      <c r="O50" s="142">
        <f t="shared" si="8"/>
        <v>0.27926887005140227</v>
      </c>
      <c r="P50" s="142">
        <f t="shared" si="8"/>
        <v>0.7417735199296599</v>
      </c>
      <c r="Q50" s="142">
        <f t="shared" si="8"/>
        <v>1.3187084798749509</v>
      </c>
      <c r="R50" s="142">
        <f t="shared" si="8"/>
        <v>1.9780627198124265</v>
      </c>
      <c r="S50" s="154"/>
    </row>
    <row r="51" spans="1:19" ht="18.75" customHeight="1" thickTop="1" x14ac:dyDescent="0.2">
      <c r="F51" s="16"/>
      <c r="G51" s="106"/>
    </row>
    <row r="52" spans="1:19" x14ac:dyDescent="0.2">
      <c r="A52" s="27"/>
      <c r="B52" s="27"/>
      <c r="C52" s="27"/>
      <c r="D52" s="27"/>
      <c r="E52" s="31"/>
      <c r="F52" s="27"/>
      <c r="G52" s="27"/>
      <c r="H52" s="27"/>
      <c r="I52" s="27"/>
    </row>
  </sheetData>
  <mergeCells count="10">
    <mergeCell ref="A3:I3"/>
    <mergeCell ref="A4:I4"/>
    <mergeCell ref="A5:D5"/>
    <mergeCell ref="A34:D34"/>
    <mergeCell ref="B44:G46"/>
    <mergeCell ref="M14:R14"/>
    <mergeCell ref="M33:R33"/>
    <mergeCell ref="A12:I12"/>
    <mergeCell ref="A15:D15"/>
    <mergeCell ref="A30:I30"/>
  </mergeCells>
  <phoneticPr fontId="0" type="noConversion"/>
  <pageMargins left="0.75" right="0.6"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T45"/>
  <sheetViews>
    <sheetView showGridLines="0" workbookViewId="0">
      <selection activeCell="K38" sqref="K38"/>
    </sheetView>
  </sheetViews>
  <sheetFormatPr defaultRowHeight="11.25" x14ac:dyDescent="0.2"/>
  <cols>
    <col min="1" max="1" width="32.83203125" customWidth="1"/>
    <col min="2" max="3" width="13.6640625" customWidth="1"/>
    <col min="4" max="4" width="11" customWidth="1"/>
    <col min="5" max="5" width="10.33203125" bestFit="1" customWidth="1"/>
    <col min="6" max="7" width="11.1640625" customWidth="1"/>
    <col min="8" max="8" width="9.83203125" bestFit="1" customWidth="1"/>
    <col min="9" max="9" width="11.1640625" customWidth="1"/>
    <col min="11" max="11" width="10.5" bestFit="1" customWidth="1"/>
    <col min="14" max="14" width="13.5" customWidth="1"/>
    <col min="15" max="15" width="15.1640625" customWidth="1"/>
    <col min="16" max="16" width="11.33203125" customWidth="1"/>
    <col min="17" max="17" width="15" customWidth="1"/>
    <col min="18" max="18" width="11.6640625" customWidth="1"/>
    <col min="20" max="20" width="10.5" bestFit="1" customWidth="1"/>
  </cols>
  <sheetData>
    <row r="1" spans="1:20" ht="12" x14ac:dyDescent="0.2">
      <c r="A1" s="20"/>
      <c r="B1" s="20"/>
      <c r="C1" s="20"/>
      <c r="K1" s="29"/>
      <c r="L1" s="22" t="s">
        <v>11</v>
      </c>
    </row>
    <row r="2" spans="1:20" ht="12" x14ac:dyDescent="0.2">
      <c r="A2" s="21"/>
      <c r="B2" s="21"/>
      <c r="C2" s="21"/>
      <c r="K2" s="29"/>
    </row>
    <row r="3" spans="1:20" ht="12.75" x14ac:dyDescent="0.2">
      <c r="A3" s="285" t="s">
        <v>31</v>
      </c>
      <c r="B3" s="285"/>
      <c r="C3" s="285"/>
      <c r="D3" s="285"/>
      <c r="E3" s="285"/>
      <c r="F3" s="285"/>
      <c r="G3" s="285"/>
      <c r="H3" s="285"/>
      <c r="I3" s="285"/>
      <c r="J3" s="285"/>
      <c r="K3" s="285"/>
      <c r="L3" s="285"/>
      <c r="M3" s="67"/>
    </row>
    <row r="4" spans="1:20" x14ac:dyDescent="0.2">
      <c r="A4" s="12" t="s">
        <v>41</v>
      </c>
      <c r="B4" s="12"/>
      <c r="C4" s="12"/>
      <c r="K4" s="29"/>
    </row>
    <row r="5" spans="1:20" x14ac:dyDescent="0.2">
      <c r="A5" s="198" t="s">
        <v>222</v>
      </c>
      <c r="B5" s="121"/>
      <c r="C5" s="121"/>
      <c r="K5" s="29"/>
    </row>
    <row r="6" spans="1:20" x14ac:dyDescent="0.2">
      <c r="D6" s="12"/>
      <c r="K6" s="29"/>
    </row>
    <row r="8" spans="1:20" ht="12.75" x14ac:dyDescent="0.2">
      <c r="A8" s="304" t="s">
        <v>221</v>
      </c>
      <c r="B8" s="305"/>
      <c r="C8" s="305"/>
      <c r="D8" s="305"/>
      <c r="E8" s="305"/>
      <c r="F8" s="305"/>
      <c r="G8" s="305"/>
      <c r="H8" s="305"/>
      <c r="I8" s="305"/>
      <c r="J8" s="305"/>
      <c r="K8" s="306"/>
      <c r="M8" s="282" t="s">
        <v>240</v>
      </c>
      <c r="N8" s="283"/>
      <c r="O8" s="283"/>
      <c r="P8" s="283"/>
      <c r="Q8" s="283"/>
      <c r="R8" s="284"/>
    </row>
    <row r="9" spans="1:20" s="32" customFormat="1" ht="45" x14ac:dyDescent="0.2">
      <c r="A9" s="2" t="s">
        <v>1</v>
      </c>
      <c r="B9" s="2" t="s">
        <v>185</v>
      </c>
      <c r="C9" s="2" t="s">
        <v>186</v>
      </c>
      <c r="D9" s="2" t="s">
        <v>7</v>
      </c>
      <c r="E9" s="2" t="s">
        <v>8</v>
      </c>
      <c r="F9" s="2" t="s">
        <v>9</v>
      </c>
      <c r="G9" s="2" t="s">
        <v>218</v>
      </c>
      <c r="H9" s="2" t="s">
        <v>219</v>
      </c>
      <c r="I9" s="2" t="s">
        <v>220</v>
      </c>
      <c r="J9" s="44" t="s">
        <v>226</v>
      </c>
      <c r="K9" s="17" t="s">
        <v>32</v>
      </c>
      <c r="M9" s="213" t="str">
        <f>'.2 Direct &amp; Indirect Personnel'!$D$13</f>
        <v>DESIGNER</v>
      </c>
      <c r="N9" s="213" t="str">
        <f>'.2 Direct &amp; Indirect Personnel'!$D$38</f>
        <v>CUSTOMER CONSULTANT</v>
      </c>
      <c r="O9" s="213" t="str">
        <f>'.2 Direct &amp; Indirect Personnel'!$D$52</f>
        <v>CONSTRUCTION WORKER</v>
      </c>
      <c r="P9" s="213" t="str">
        <f>'.2 Direct &amp; Indirect Personnel'!$D$77</f>
        <v>INSPECTOR</v>
      </c>
      <c r="Q9" s="213" t="str">
        <f>'.2 Direct &amp; Indirect Personnel'!$D$97</f>
        <v>ASSISTANT OR STUDENT TECH</v>
      </c>
      <c r="R9" s="213" t="str">
        <f>'.2 Direct &amp; Indirect Personnel'!$D$113</f>
        <v>SITE MANAGER</v>
      </c>
      <c r="S9" s="17" t="s">
        <v>242</v>
      </c>
      <c r="T9" s="17" t="s">
        <v>244</v>
      </c>
    </row>
    <row r="10" spans="1:20" s="40" customFormat="1" x14ac:dyDescent="0.2">
      <c r="A10" s="164" t="s">
        <v>149</v>
      </c>
      <c r="B10" s="164" t="s">
        <v>187</v>
      </c>
      <c r="C10" s="164" t="s">
        <v>20</v>
      </c>
      <c r="D10" s="168">
        <v>55000</v>
      </c>
      <c r="E10" s="169">
        <v>7</v>
      </c>
      <c r="F10" s="153">
        <f t="shared" ref="F10:F15" si="0">IFERROR(+D10/E10,0)</f>
        <v>7857.1428571428569</v>
      </c>
      <c r="G10" s="196">
        <v>42614</v>
      </c>
      <c r="H10" s="197">
        <f>IF((('.1 Cover'!$C$4-G10)/365)&gt;E10,E10,('.1 Cover'!$C$4-G10)/365)</f>
        <v>6.2465753424657535</v>
      </c>
      <c r="I10" s="197">
        <f t="shared" ref="I10:I15" si="1">IF((E10-H10)&lt;0,0,E10-H10)</f>
        <v>0.75342465753424648</v>
      </c>
      <c r="J10" s="166">
        <v>1</v>
      </c>
      <c r="K10" s="154">
        <f t="shared" ref="K10:K15" si="2">IF(I10&lt;1,F10*I10*J10,F10*J10)</f>
        <v>5919.7651663405077</v>
      </c>
      <c r="M10" s="212" t="s">
        <v>241</v>
      </c>
      <c r="N10" s="212" t="s">
        <v>241</v>
      </c>
      <c r="O10" s="212" t="s">
        <v>243</v>
      </c>
      <c r="P10" s="212" t="s">
        <v>243</v>
      </c>
      <c r="Q10" s="212" t="s">
        <v>241</v>
      </c>
      <c r="R10" s="212" t="s">
        <v>241</v>
      </c>
      <c r="S10" s="210">
        <f>COUNTIF(M10:R10,"Yes")</f>
        <v>4</v>
      </c>
      <c r="T10" s="154">
        <f>IFERROR(K10/S10,0)</f>
        <v>1479.9412915851269</v>
      </c>
    </row>
    <row r="11" spans="1:20" s="40" customFormat="1" x14ac:dyDescent="0.2">
      <c r="A11" s="164" t="s">
        <v>150</v>
      </c>
      <c r="B11" s="164" t="s">
        <v>187</v>
      </c>
      <c r="C11" s="164" t="s">
        <v>20</v>
      </c>
      <c r="D11" s="168">
        <v>10000</v>
      </c>
      <c r="E11" s="169">
        <v>7</v>
      </c>
      <c r="F11" s="153">
        <f t="shared" si="0"/>
        <v>1428.5714285714287</v>
      </c>
      <c r="G11" s="196">
        <v>43344</v>
      </c>
      <c r="H11" s="197">
        <f>IF((('.1 Cover'!$C$4-G11)/365)&gt;E11,E11,('.1 Cover'!$C$4-G11)/365)</f>
        <v>4.2465753424657535</v>
      </c>
      <c r="I11" s="197">
        <f t="shared" si="1"/>
        <v>2.7534246575342465</v>
      </c>
      <c r="J11" s="166">
        <v>0.05</v>
      </c>
      <c r="K11" s="154">
        <f t="shared" si="2"/>
        <v>71.428571428571431</v>
      </c>
      <c r="M11" s="212" t="s">
        <v>241</v>
      </c>
      <c r="N11" s="212" t="s">
        <v>241</v>
      </c>
      <c r="O11" s="212" t="s">
        <v>243</v>
      </c>
      <c r="P11" s="212" t="s">
        <v>243</v>
      </c>
      <c r="Q11" s="212" t="s">
        <v>241</v>
      </c>
      <c r="R11" s="212" t="s">
        <v>241</v>
      </c>
      <c r="S11" s="210">
        <f t="shared" ref="S11:S15" si="3">COUNTIF(M11:R11,"Yes")</f>
        <v>4</v>
      </c>
      <c r="T11" s="154">
        <f t="shared" ref="T11:T15" si="4">IFERROR(K11/S11,0)</f>
        <v>17.857142857142858</v>
      </c>
    </row>
    <row r="12" spans="1:20" s="40" customFormat="1" x14ac:dyDescent="0.2">
      <c r="A12" s="164" t="s">
        <v>26</v>
      </c>
      <c r="B12" s="164" t="s">
        <v>187</v>
      </c>
      <c r="C12" s="164" t="s">
        <v>20</v>
      </c>
      <c r="D12" s="168">
        <v>25000</v>
      </c>
      <c r="E12" s="169">
        <v>7</v>
      </c>
      <c r="F12" s="153">
        <f t="shared" si="0"/>
        <v>3571.4285714285716</v>
      </c>
      <c r="G12" s="196">
        <v>43739</v>
      </c>
      <c r="H12" s="197">
        <f>IF((('.1 Cover'!$C$4-G12)/365)&gt;E12,E12,('.1 Cover'!$C$4-G12)/365)</f>
        <v>3.1643835616438358</v>
      </c>
      <c r="I12" s="197">
        <f t="shared" si="1"/>
        <v>3.8356164383561642</v>
      </c>
      <c r="J12" s="166">
        <v>0.5</v>
      </c>
      <c r="K12" s="154">
        <f t="shared" si="2"/>
        <v>1785.7142857142858</v>
      </c>
      <c r="M12" s="212" t="s">
        <v>241</v>
      </c>
      <c r="N12" s="212" t="s">
        <v>241</v>
      </c>
      <c r="O12" s="212" t="s">
        <v>243</v>
      </c>
      <c r="P12" s="212" t="s">
        <v>241</v>
      </c>
      <c r="Q12" s="212" t="s">
        <v>241</v>
      </c>
      <c r="R12" s="212" t="s">
        <v>241</v>
      </c>
      <c r="S12" s="210">
        <f t="shared" si="3"/>
        <v>5</v>
      </c>
      <c r="T12" s="154">
        <f t="shared" si="4"/>
        <v>357.14285714285717</v>
      </c>
    </row>
    <row r="13" spans="1:20" s="40" customFormat="1" x14ac:dyDescent="0.2">
      <c r="A13" s="164" t="s">
        <v>151</v>
      </c>
      <c r="B13" s="164" t="s">
        <v>187</v>
      </c>
      <c r="C13" s="164" t="s">
        <v>20</v>
      </c>
      <c r="D13" s="168">
        <v>8500</v>
      </c>
      <c r="E13" s="169">
        <v>5</v>
      </c>
      <c r="F13" s="153">
        <f t="shared" si="0"/>
        <v>1700</v>
      </c>
      <c r="G13" s="196">
        <v>44531</v>
      </c>
      <c r="H13" s="197">
        <f>IF((('.1 Cover'!$C$4-G13)/365)&gt;E13,E13,('.1 Cover'!$C$4-G13)/365)</f>
        <v>0.9945205479452055</v>
      </c>
      <c r="I13" s="197">
        <f t="shared" si="1"/>
        <v>4.0054794520547947</v>
      </c>
      <c r="J13" s="166">
        <v>1</v>
      </c>
      <c r="K13" s="154">
        <f t="shared" si="2"/>
        <v>1700</v>
      </c>
      <c r="M13" s="212" t="s">
        <v>241</v>
      </c>
      <c r="N13" s="212" t="s">
        <v>241</v>
      </c>
      <c r="O13" s="212" t="s">
        <v>241</v>
      </c>
      <c r="P13" s="212" t="s">
        <v>241</v>
      </c>
      <c r="Q13" s="212" t="s">
        <v>241</v>
      </c>
      <c r="R13" s="212" t="s">
        <v>241</v>
      </c>
      <c r="S13" s="210">
        <f t="shared" si="3"/>
        <v>6</v>
      </c>
      <c r="T13" s="154">
        <f t="shared" si="4"/>
        <v>283.33333333333331</v>
      </c>
    </row>
    <row r="14" spans="1:20" s="40" customFormat="1" x14ac:dyDescent="0.2">
      <c r="A14" s="164" t="s">
        <v>148</v>
      </c>
      <c r="B14" s="164" t="s">
        <v>187</v>
      </c>
      <c r="C14" s="164" t="s">
        <v>20</v>
      </c>
      <c r="D14" s="168">
        <v>50000</v>
      </c>
      <c r="E14" s="169">
        <v>7</v>
      </c>
      <c r="F14" s="153">
        <f t="shared" si="0"/>
        <v>7142.8571428571431</v>
      </c>
      <c r="G14" s="196">
        <v>42156</v>
      </c>
      <c r="H14" s="197">
        <f>IF((('.1 Cover'!$C$4-G14)/365)&gt;E14,E14,('.1 Cover'!$C$4-G14)/365)</f>
        <v>7</v>
      </c>
      <c r="I14" s="197">
        <f t="shared" si="1"/>
        <v>0</v>
      </c>
      <c r="J14" s="166">
        <v>1</v>
      </c>
      <c r="K14" s="154">
        <f t="shared" si="2"/>
        <v>0</v>
      </c>
      <c r="M14" s="212" t="s">
        <v>241</v>
      </c>
      <c r="N14" s="212" t="s">
        <v>243</v>
      </c>
      <c r="O14" s="212" t="s">
        <v>241</v>
      </c>
      <c r="P14" s="212" t="s">
        <v>243</v>
      </c>
      <c r="Q14" s="212" t="s">
        <v>241</v>
      </c>
      <c r="R14" s="212" t="s">
        <v>241</v>
      </c>
      <c r="S14" s="210">
        <f t="shared" si="3"/>
        <v>4</v>
      </c>
      <c r="T14" s="154">
        <f t="shared" si="4"/>
        <v>0</v>
      </c>
    </row>
    <row r="15" spans="1:20" s="40" customFormat="1" x14ac:dyDescent="0.2">
      <c r="A15" s="164" t="s">
        <v>27</v>
      </c>
      <c r="B15" s="164" t="s">
        <v>187</v>
      </c>
      <c r="C15" s="164" t="s">
        <v>20</v>
      </c>
      <c r="D15" s="168">
        <v>5250</v>
      </c>
      <c r="E15" s="169">
        <v>5</v>
      </c>
      <c r="F15" s="153">
        <f t="shared" si="0"/>
        <v>1050</v>
      </c>
      <c r="G15" s="196">
        <v>42917</v>
      </c>
      <c r="H15" s="197">
        <f>IF((('.1 Cover'!$C$4-G15)/365)&gt;E15,E15,('.1 Cover'!$C$4-G15)/365)</f>
        <v>5</v>
      </c>
      <c r="I15" s="197">
        <f t="shared" si="1"/>
        <v>0</v>
      </c>
      <c r="J15" s="166">
        <v>0.8</v>
      </c>
      <c r="K15" s="154">
        <f t="shared" si="2"/>
        <v>0</v>
      </c>
      <c r="M15" s="212" t="s">
        <v>241</v>
      </c>
      <c r="N15" s="212" t="s">
        <v>241</v>
      </c>
      <c r="O15" s="212" t="s">
        <v>243</v>
      </c>
      <c r="P15" s="212" t="s">
        <v>241</v>
      </c>
      <c r="Q15" s="212" t="s">
        <v>241</v>
      </c>
      <c r="R15" s="212" t="s">
        <v>241</v>
      </c>
      <c r="S15" s="210">
        <f t="shared" si="3"/>
        <v>5</v>
      </c>
      <c r="T15" s="154">
        <f t="shared" si="4"/>
        <v>0</v>
      </c>
    </row>
    <row r="16" spans="1:20" s="40" customFormat="1" x14ac:dyDescent="0.2">
      <c r="A16" s="164"/>
      <c r="B16" s="164"/>
      <c r="C16" s="164"/>
      <c r="D16" s="168"/>
      <c r="E16" s="169"/>
      <c r="F16" s="153"/>
      <c r="G16" s="196"/>
      <c r="H16" s="197"/>
      <c r="I16" s="197"/>
      <c r="J16" s="166"/>
      <c r="K16" s="154"/>
      <c r="M16" s="212"/>
      <c r="N16" s="212"/>
      <c r="O16" s="212"/>
      <c r="P16" s="212"/>
      <c r="Q16" s="212"/>
      <c r="R16" s="212"/>
      <c r="S16" s="210"/>
      <c r="T16" s="154"/>
    </row>
    <row r="17" spans="1:20" x14ac:dyDescent="0.2">
      <c r="D17" s="33"/>
      <c r="E17" s="3"/>
      <c r="F17" s="33"/>
      <c r="G17" s="33"/>
      <c r="H17" s="33"/>
      <c r="I17" s="33"/>
      <c r="J17" s="251" t="s">
        <v>290</v>
      </c>
      <c r="K17" s="144"/>
    </row>
    <row r="18" spans="1:20" s="22" customFormat="1" ht="11.25" customHeight="1" x14ac:dyDescent="0.2">
      <c r="D18" s="34"/>
      <c r="J18" s="16" t="s">
        <v>223</v>
      </c>
      <c r="K18" s="150">
        <f>SUM(K10:K17)</f>
        <v>9476.9080234833655</v>
      </c>
      <c r="M18" s="150">
        <f>SUMIF(M10:M17,"Yes",$T$10:$T$17)</f>
        <v>2138.2746249184602</v>
      </c>
      <c r="N18" s="150">
        <f t="shared" ref="N18:R18" si="5">SUMIF(N10:N17,"Yes",$T$10:$T$17)</f>
        <v>2138.2746249184602</v>
      </c>
      <c r="O18" s="150">
        <f t="shared" si="5"/>
        <v>283.33333333333331</v>
      </c>
      <c r="P18" s="150">
        <f t="shared" si="5"/>
        <v>640.47619047619048</v>
      </c>
      <c r="Q18" s="150">
        <f t="shared" si="5"/>
        <v>2138.2746249184602</v>
      </c>
      <c r="R18" s="150">
        <f t="shared" si="5"/>
        <v>2138.2746249184602</v>
      </c>
      <c r="S18"/>
    </row>
    <row r="19" spans="1:20" x14ac:dyDescent="0.2">
      <c r="A19" s="27"/>
      <c r="B19" s="27"/>
      <c r="C19" s="27"/>
      <c r="D19" s="31"/>
      <c r="E19" s="27"/>
      <c r="F19" s="27"/>
      <c r="G19" s="27"/>
      <c r="H19" s="27"/>
      <c r="I19" s="27"/>
      <c r="J19" s="27"/>
      <c r="K19" s="27"/>
    </row>
    <row r="20" spans="1:20" x14ac:dyDescent="0.2">
      <c r="D20" s="29"/>
    </row>
    <row r="21" spans="1:20" x14ac:dyDescent="0.2">
      <c r="D21" s="29"/>
    </row>
    <row r="22" spans="1:20" x14ac:dyDescent="0.2">
      <c r="D22" s="29"/>
    </row>
    <row r="23" spans="1:20" ht="12.75" x14ac:dyDescent="0.2">
      <c r="A23" s="304" t="s">
        <v>28</v>
      </c>
      <c r="B23" s="305"/>
      <c r="C23" s="305"/>
      <c r="D23" s="305"/>
      <c r="E23" s="305"/>
      <c r="F23" s="305"/>
      <c r="G23" s="305"/>
      <c r="H23" s="305"/>
      <c r="I23" s="305"/>
      <c r="J23" s="305"/>
      <c r="K23" s="306"/>
    </row>
    <row r="24" spans="1:20" ht="45" x14ac:dyDescent="0.2">
      <c r="A24" s="303" t="s">
        <v>188</v>
      </c>
      <c r="B24" s="303"/>
      <c r="C24" s="303"/>
      <c r="D24" s="303"/>
      <c r="E24" s="303"/>
      <c r="F24" s="2"/>
      <c r="G24" s="2"/>
      <c r="H24" s="2"/>
      <c r="I24" s="2" t="s">
        <v>9</v>
      </c>
      <c r="J24" s="44" t="s">
        <v>226</v>
      </c>
      <c r="K24" s="17" t="s">
        <v>32</v>
      </c>
    </row>
    <row r="25" spans="1:20" s="40" customFormat="1" x14ac:dyDescent="0.2">
      <c r="A25" s="164" t="s">
        <v>189</v>
      </c>
      <c r="B25" s="164"/>
      <c r="C25" s="164"/>
      <c r="D25" s="170"/>
      <c r="E25" s="164"/>
      <c r="F25" s="168"/>
      <c r="G25" s="168"/>
      <c r="H25" s="168"/>
      <c r="I25" s="168">
        <v>2000</v>
      </c>
      <c r="J25" s="171">
        <v>0.8</v>
      </c>
      <c r="K25" s="152">
        <f>I25*J25</f>
        <v>1600</v>
      </c>
      <c r="M25" s="212" t="s">
        <v>241</v>
      </c>
      <c r="N25" s="212" t="s">
        <v>241</v>
      </c>
      <c r="O25" s="212" t="s">
        <v>241</v>
      </c>
      <c r="P25" s="212" t="s">
        <v>241</v>
      </c>
      <c r="Q25" s="212" t="s">
        <v>241</v>
      </c>
      <c r="R25" s="212" t="s">
        <v>241</v>
      </c>
      <c r="S25" s="210">
        <f t="shared" ref="S25:S27" si="6">COUNTIF(M25:R25,"Yes")</f>
        <v>6</v>
      </c>
      <c r="T25" s="154">
        <f t="shared" ref="T25:T27" si="7">IFERROR(K25/S25,0)</f>
        <v>266.66666666666669</v>
      </c>
    </row>
    <row r="26" spans="1:20" s="40" customFormat="1" x14ac:dyDescent="0.2">
      <c r="A26" s="164" t="s">
        <v>190</v>
      </c>
      <c r="B26" s="164"/>
      <c r="C26" s="164"/>
      <c r="D26" s="170"/>
      <c r="E26" s="164"/>
      <c r="F26" s="170"/>
      <c r="G26" s="170"/>
      <c r="H26" s="170"/>
      <c r="I26" s="170">
        <v>1000</v>
      </c>
      <c r="J26" s="166">
        <v>1</v>
      </c>
      <c r="K26" s="153">
        <f>I26*J26</f>
        <v>1000</v>
      </c>
      <c r="M26" s="212" t="s">
        <v>241</v>
      </c>
      <c r="N26" s="212" t="s">
        <v>241</v>
      </c>
      <c r="O26" s="212" t="s">
        <v>243</v>
      </c>
      <c r="P26" s="212" t="s">
        <v>243</v>
      </c>
      <c r="Q26" s="212" t="s">
        <v>241</v>
      </c>
      <c r="R26" s="212" t="s">
        <v>241</v>
      </c>
      <c r="S26" s="210">
        <f t="shared" si="6"/>
        <v>4</v>
      </c>
      <c r="T26" s="154">
        <f t="shared" si="7"/>
        <v>250</v>
      </c>
    </row>
    <row r="27" spans="1:20" s="40" customFormat="1" x14ac:dyDescent="0.2">
      <c r="A27" s="164" t="s">
        <v>191</v>
      </c>
      <c r="B27" s="164"/>
      <c r="C27" s="164"/>
      <c r="D27" s="170"/>
      <c r="E27" s="164"/>
      <c r="F27" s="170"/>
      <c r="G27" s="170"/>
      <c r="H27" s="170"/>
      <c r="I27" s="170">
        <v>3000</v>
      </c>
      <c r="J27" s="166">
        <v>0.05</v>
      </c>
      <c r="K27" s="153">
        <f>I27*J27</f>
        <v>150</v>
      </c>
      <c r="M27" s="212" t="s">
        <v>241</v>
      </c>
      <c r="N27" s="212" t="s">
        <v>241</v>
      </c>
      <c r="O27" s="212" t="s">
        <v>243</v>
      </c>
      <c r="P27" s="212" t="s">
        <v>243</v>
      </c>
      <c r="Q27" s="212" t="s">
        <v>241</v>
      </c>
      <c r="R27" s="212" t="s">
        <v>241</v>
      </c>
      <c r="S27" s="210">
        <f t="shared" si="6"/>
        <v>4</v>
      </c>
      <c r="T27" s="154">
        <f t="shared" si="7"/>
        <v>37.5</v>
      </c>
    </row>
    <row r="28" spans="1:20" s="40" customFormat="1" x14ac:dyDescent="0.2">
      <c r="A28" s="164"/>
      <c r="B28" s="164"/>
      <c r="C28" s="164"/>
      <c r="D28" s="170"/>
      <c r="E28" s="164"/>
      <c r="F28" s="170"/>
      <c r="G28" s="170"/>
      <c r="H28" s="170"/>
      <c r="I28" s="170"/>
      <c r="J28" s="166"/>
      <c r="K28" s="153"/>
      <c r="M28" s="212"/>
      <c r="N28" s="212"/>
      <c r="O28" s="212"/>
      <c r="P28" s="212"/>
      <c r="Q28" s="212"/>
      <c r="R28" s="212"/>
      <c r="S28" s="210"/>
      <c r="T28" s="154"/>
    </row>
    <row r="29" spans="1:20" x14ac:dyDescent="0.2">
      <c r="D29" s="29"/>
      <c r="J29" s="251" t="s">
        <v>290</v>
      </c>
      <c r="K29" s="144"/>
    </row>
    <row r="30" spans="1:20" x14ac:dyDescent="0.2">
      <c r="D30" s="29"/>
      <c r="J30" s="16" t="s">
        <v>35</v>
      </c>
      <c r="K30" s="150">
        <f>SUM(K25:K29)</f>
        <v>2750</v>
      </c>
      <c r="M30" s="150">
        <f>SUMIF(M25:M29,"Yes",$T$25:$T$29)</f>
        <v>554.16666666666674</v>
      </c>
      <c r="N30" s="150">
        <f t="shared" ref="N30:R30" si="8">SUMIF(N25:N29,"Yes",$T$25:$T$29)</f>
        <v>554.16666666666674</v>
      </c>
      <c r="O30" s="150">
        <f t="shared" si="8"/>
        <v>266.66666666666669</v>
      </c>
      <c r="P30" s="150">
        <f t="shared" si="8"/>
        <v>266.66666666666669</v>
      </c>
      <c r="Q30" s="150">
        <f t="shared" si="8"/>
        <v>554.16666666666674</v>
      </c>
      <c r="R30" s="150">
        <f t="shared" si="8"/>
        <v>554.16666666666674</v>
      </c>
    </row>
    <row r="31" spans="1:20" x14ac:dyDescent="0.2">
      <c r="A31" s="27"/>
      <c r="B31" s="27"/>
      <c r="C31" s="27"/>
      <c r="D31" s="31"/>
      <c r="E31" s="27"/>
      <c r="F31" s="27"/>
      <c r="G31" s="27"/>
      <c r="H31" s="27"/>
      <c r="I31" s="27"/>
      <c r="J31" s="27"/>
      <c r="K31" s="27"/>
    </row>
    <row r="32" spans="1:20" x14ac:dyDescent="0.2">
      <c r="D32" s="29"/>
    </row>
    <row r="33" spans="1:19" x14ac:dyDescent="0.2">
      <c r="D33" s="29"/>
    </row>
    <row r="34" spans="1:19" x14ac:dyDescent="0.2">
      <c r="A34" s="22" t="s">
        <v>39</v>
      </c>
      <c r="B34" s="22"/>
      <c r="C34" s="22"/>
      <c r="J34" s="29"/>
    </row>
    <row r="35" spans="1:19" ht="20.100000000000001" customHeight="1" x14ac:dyDescent="0.2">
      <c r="D35" s="294" t="s">
        <v>230</v>
      </c>
      <c r="E35" s="295"/>
      <c r="F35" s="295"/>
      <c r="G35" s="295"/>
      <c r="H35" s="295"/>
      <c r="I35" s="295"/>
      <c r="J35" s="295"/>
      <c r="K35" s="296"/>
    </row>
    <row r="36" spans="1:19" ht="20.100000000000001" customHeight="1" x14ac:dyDescent="0.2">
      <c r="D36" s="297"/>
      <c r="E36" s="298"/>
      <c r="F36" s="298"/>
      <c r="G36" s="298"/>
      <c r="H36" s="298"/>
      <c r="I36" s="298"/>
      <c r="J36" s="298"/>
      <c r="K36" s="299"/>
      <c r="L36" s="253" t="s">
        <v>290</v>
      </c>
    </row>
    <row r="37" spans="1:19" ht="20.100000000000001" customHeight="1" x14ac:dyDescent="0.2">
      <c r="D37" s="300"/>
      <c r="E37" s="301"/>
      <c r="F37" s="301"/>
      <c r="G37" s="301"/>
      <c r="H37" s="301"/>
      <c r="I37" s="301"/>
      <c r="J37" s="301"/>
      <c r="K37" s="302"/>
    </row>
    <row r="38" spans="1:19" x14ac:dyDescent="0.2">
      <c r="D38" s="29"/>
    </row>
    <row r="39" spans="1:19" x14ac:dyDescent="0.2">
      <c r="D39" s="29"/>
    </row>
    <row r="40" spans="1:19" x14ac:dyDescent="0.2">
      <c r="A40" s="22"/>
      <c r="B40" s="22"/>
      <c r="C40" s="22"/>
      <c r="D40" s="34"/>
      <c r="J40" s="16" t="s">
        <v>280</v>
      </c>
      <c r="K40" s="150">
        <f>+K18+K30</f>
        <v>12226.908023483365</v>
      </c>
      <c r="M40" s="150">
        <f t="shared" ref="M40:R40" si="9">+M18+M30</f>
        <v>2692.4412915851271</v>
      </c>
      <c r="N40" s="150">
        <f t="shared" si="9"/>
        <v>2692.4412915851271</v>
      </c>
      <c r="O40" s="150">
        <f t="shared" si="9"/>
        <v>550</v>
      </c>
      <c r="P40" s="150">
        <f t="shared" si="9"/>
        <v>907.14285714285711</v>
      </c>
      <c r="Q40" s="150">
        <f t="shared" si="9"/>
        <v>2692.4412915851271</v>
      </c>
      <c r="R40" s="150">
        <f t="shared" si="9"/>
        <v>2692.4412915851271</v>
      </c>
      <c r="S40" s="154">
        <f>K40-SUM(M40:R40)</f>
        <v>0</v>
      </c>
    </row>
    <row r="41" spans="1:19" x14ac:dyDescent="0.2">
      <c r="D41" s="29"/>
      <c r="J41" s="16" t="s">
        <v>256</v>
      </c>
      <c r="K41" s="151">
        <f>'.2 Direct &amp; Indirect Personnel'!J126</f>
        <v>72420</v>
      </c>
      <c r="M41" s="151">
        <f>'.2 Direct &amp; Indirect Personnel'!$J$32</f>
        <v>20387</v>
      </c>
      <c r="N41" s="151">
        <f>'.2 Direct &amp; Indirect Personnel'!$J$45</f>
        <v>3412</v>
      </c>
      <c r="O41" s="151">
        <f>'.2 Direct &amp; Indirect Personnel'!$J$70</f>
        <v>22178</v>
      </c>
      <c r="P41" s="151">
        <f>'.2 Direct &amp; Indirect Personnel'!$J$90</f>
        <v>13648</v>
      </c>
      <c r="Q41" s="151">
        <f>'.2 Direct &amp; Indirect Personnel'!$J$107</f>
        <v>7677</v>
      </c>
      <c r="R41" s="151">
        <f>'.2 Direct &amp; Indirect Personnel'!$J$121</f>
        <v>5118</v>
      </c>
      <c r="S41" s="151">
        <f>K41-SUM(M41:R41)</f>
        <v>0</v>
      </c>
    </row>
    <row r="42" spans="1:19" ht="15.75" customHeight="1" thickBot="1" x14ac:dyDescent="0.25">
      <c r="A42" s="22"/>
      <c r="B42" s="22"/>
      <c r="C42" s="22"/>
      <c r="D42" s="34"/>
      <c r="J42" s="16" t="s">
        <v>152</v>
      </c>
      <c r="K42" s="142">
        <f>IFERROR(K40/K41,0)</f>
        <v>0.16883330604091915</v>
      </c>
      <c r="M42" s="142">
        <f t="shared" ref="M42:R42" si="10">IFERROR(M40/M41,0)</f>
        <v>0.13206657632732266</v>
      </c>
      <c r="N42" s="142">
        <f t="shared" si="10"/>
        <v>0.78910940550560582</v>
      </c>
      <c r="O42" s="142">
        <f t="shared" si="10"/>
        <v>2.479935070790874E-2</v>
      </c>
      <c r="P42" s="142">
        <f t="shared" si="10"/>
        <v>6.6467090939541118E-2</v>
      </c>
      <c r="Q42" s="142">
        <f t="shared" si="10"/>
        <v>0.3507152913358248</v>
      </c>
      <c r="R42" s="142">
        <f t="shared" si="10"/>
        <v>0.52607293700373725</v>
      </c>
      <c r="S42" s="154"/>
    </row>
    <row r="43" spans="1:19" ht="12" thickTop="1" x14ac:dyDescent="0.2">
      <c r="D43" s="29"/>
    </row>
    <row r="44" spans="1:19" x14ac:dyDescent="0.2">
      <c r="D44" s="29"/>
    </row>
    <row r="45" spans="1:19" x14ac:dyDescent="0.2">
      <c r="D45" s="29"/>
    </row>
  </sheetData>
  <mergeCells count="6">
    <mergeCell ref="D35:K37"/>
    <mergeCell ref="A3:L3"/>
    <mergeCell ref="M8:R8"/>
    <mergeCell ref="A24:E24"/>
    <mergeCell ref="A8:K8"/>
    <mergeCell ref="A23:K23"/>
  </mergeCells>
  <phoneticPr fontId="0" type="noConversion"/>
  <pageMargins left="0.75" right="0.75" top="1" bottom="1" header="0.5" footer="0.5"/>
  <pageSetup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P63"/>
  <sheetViews>
    <sheetView showGridLines="0" tabSelected="1" topLeftCell="A17" workbookViewId="0">
      <selection activeCell="I33" sqref="I33"/>
    </sheetView>
  </sheetViews>
  <sheetFormatPr defaultColWidth="9.33203125" defaultRowHeight="11.25" x14ac:dyDescent="0.2"/>
  <cols>
    <col min="1" max="1" width="9.33203125" style="58"/>
    <col min="2" max="2" width="13.5" style="58" customWidth="1"/>
    <col min="3" max="3" width="9.6640625" style="58" customWidth="1"/>
    <col min="4" max="4" width="14.1640625" style="58" customWidth="1"/>
    <col min="5" max="5" width="15.33203125" style="58" customWidth="1"/>
    <col min="6" max="6" width="12.33203125" style="58" customWidth="1"/>
    <col min="7" max="7" width="15.33203125" style="58" customWidth="1"/>
    <col min="8" max="8" width="20.83203125" style="58" customWidth="1"/>
    <col min="9" max="9" width="15.83203125" style="58" bestFit="1" customWidth="1"/>
    <col min="10" max="10" width="13.6640625" style="58" customWidth="1"/>
    <col min="11" max="11" width="11" style="58" customWidth="1"/>
    <col min="12" max="12" width="9.33203125" style="58"/>
    <col min="13" max="13" width="11.33203125" style="58" bestFit="1" customWidth="1"/>
    <col min="14" max="14" width="9.33203125" style="58"/>
    <col min="15" max="15" width="17.1640625" style="58" customWidth="1"/>
    <col min="16" max="16" width="15.33203125" style="58" customWidth="1"/>
    <col min="17" max="17" width="11.33203125" style="58" customWidth="1"/>
    <col min="18" max="18" width="14" style="58" customWidth="1"/>
    <col min="19" max="19" width="11.6640625" style="58" customWidth="1"/>
    <col min="20" max="20" width="11" style="58" customWidth="1"/>
    <col min="21" max="16384" width="9.33203125" style="58"/>
  </cols>
  <sheetData>
    <row r="1" spans="1:12" ht="12.75" x14ac:dyDescent="0.2">
      <c r="A1" s="73" t="s">
        <v>47</v>
      </c>
      <c r="B1" s="73"/>
      <c r="C1" s="73"/>
      <c r="D1" s="73"/>
      <c r="E1" s="73"/>
      <c r="F1" s="73"/>
      <c r="G1" s="114"/>
      <c r="H1" s="114"/>
      <c r="I1" s="115"/>
      <c r="J1" s="115"/>
      <c r="L1" s="37" t="s">
        <v>270</v>
      </c>
    </row>
    <row r="2" spans="1:12" ht="12.75" x14ac:dyDescent="0.2">
      <c r="A2" s="37"/>
      <c r="B2" s="37"/>
      <c r="C2" s="37"/>
      <c r="D2" s="37"/>
      <c r="E2" s="37"/>
      <c r="F2" s="37"/>
      <c r="G2" s="37"/>
      <c r="H2" s="37"/>
      <c r="I2" s="37"/>
    </row>
    <row r="3" spans="1:12" s="35" customFormat="1" ht="32.25" customHeight="1" x14ac:dyDescent="0.2">
      <c r="A3" s="316" t="s">
        <v>48</v>
      </c>
      <c r="B3" s="316"/>
      <c r="C3" s="316"/>
      <c r="D3" s="316"/>
      <c r="E3" s="316"/>
      <c r="F3" s="316"/>
      <c r="G3" s="316"/>
      <c r="H3" s="316"/>
      <c r="I3" s="316"/>
    </row>
    <row r="4" spans="1:12" s="35" customFormat="1" ht="18.75" customHeight="1" x14ac:dyDescent="0.2">
      <c r="A4" s="128" t="s">
        <v>200</v>
      </c>
    </row>
    <row r="5" spans="1:12" s="35" customFormat="1" ht="60" customHeight="1" x14ac:dyDescent="0.2">
      <c r="A5" s="316" t="s">
        <v>201</v>
      </c>
      <c r="B5" s="316"/>
      <c r="C5" s="316"/>
      <c r="D5" s="316"/>
      <c r="E5" s="316"/>
      <c r="F5" s="316"/>
      <c r="G5" s="316"/>
      <c r="H5" s="316"/>
      <c r="I5" s="316"/>
    </row>
    <row r="6" spans="1:12" s="35" customFormat="1" ht="36.75" customHeight="1" x14ac:dyDescent="0.2">
      <c r="A6" s="316" t="s">
        <v>225</v>
      </c>
      <c r="B6" s="316"/>
      <c r="C6" s="316"/>
      <c r="D6" s="316"/>
      <c r="E6" s="316"/>
      <c r="F6" s="316"/>
      <c r="G6" s="316"/>
      <c r="H6" s="316"/>
      <c r="I6" s="316"/>
    </row>
    <row r="7" spans="1:12" s="35" customFormat="1" ht="25.5" customHeight="1" x14ac:dyDescent="0.2">
      <c r="A7" s="316" t="s">
        <v>49</v>
      </c>
      <c r="B7" s="316"/>
      <c r="C7" s="316"/>
      <c r="D7" s="316"/>
      <c r="E7" s="316"/>
      <c r="F7" s="316"/>
      <c r="G7" s="316"/>
      <c r="H7" s="316"/>
      <c r="I7" s="316"/>
    </row>
    <row r="8" spans="1:12" s="35" customFormat="1" ht="12.75" x14ac:dyDescent="0.2">
      <c r="A8" s="317" t="s">
        <v>55</v>
      </c>
      <c r="B8" s="317"/>
      <c r="C8" s="317"/>
      <c r="D8" s="317"/>
      <c r="E8" s="317"/>
      <c r="F8" s="317"/>
      <c r="G8" s="317"/>
      <c r="H8" s="317"/>
      <c r="I8" s="317"/>
    </row>
    <row r="9" spans="1:12" s="35" customFormat="1" ht="12.75" x14ac:dyDescent="0.2">
      <c r="A9" s="75"/>
      <c r="B9" s="75"/>
      <c r="C9" s="75"/>
      <c r="D9" s="75"/>
      <c r="E9" s="75"/>
      <c r="F9" s="75"/>
      <c r="G9" s="75"/>
      <c r="H9" s="75"/>
      <c r="I9" s="75"/>
    </row>
    <row r="10" spans="1:12" s="35" customFormat="1" ht="12.75" x14ac:dyDescent="0.2">
      <c r="A10" s="76" t="s">
        <v>171</v>
      </c>
      <c r="B10" s="75"/>
      <c r="C10" s="75"/>
      <c r="D10" s="75"/>
      <c r="E10" s="75"/>
      <c r="F10" s="75"/>
      <c r="G10" s="75"/>
      <c r="H10" s="75"/>
      <c r="I10" s="75"/>
    </row>
    <row r="11" spans="1:12" s="35" customFormat="1" ht="12.75" x14ac:dyDescent="0.2">
      <c r="A11" s="75"/>
      <c r="B11" s="75"/>
      <c r="C11" s="75"/>
      <c r="D11" s="75"/>
      <c r="E11" s="75"/>
      <c r="F11" s="75"/>
      <c r="G11" s="75"/>
      <c r="H11" s="75"/>
      <c r="I11" s="75"/>
    </row>
    <row r="12" spans="1:12" s="35" customFormat="1" ht="13.5" customHeight="1" x14ac:dyDescent="0.2">
      <c r="A12" s="76" t="s">
        <v>58</v>
      </c>
      <c r="B12" s="76"/>
      <c r="D12" s="75"/>
      <c r="F12" s="75"/>
      <c r="G12" s="75"/>
      <c r="H12" s="75"/>
      <c r="I12" s="75"/>
    </row>
    <row r="13" spans="1:12" s="35" customFormat="1" ht="2.25" customHeight="1" x14ac:dyDescent="0.2">
      <c r="A13" s="76"/>
      <c r="B13" s="76"/>
      <c r="D13" s="75"/>
      <c r="F13" s="75"/>
      <c r="G13" s="75"/>
      <c r="H13" s="75"/>
      <c r="I13" s="75"/>
    </row>
    <row r="14" spans="1:12" s="35" customFormat="1" ht="12.75" x14ac:dyDescent="0.2">
      <c r="A14" s="75" t="s">
        <v>56</v>
      </c>
      <c r="B14" s="199">
        <v>44378</v>
      </c>
      <c r="C14" s="75" t="s">
        <v>57</v>
      </c>
      <c r="D14" s="199">
        <v>44742</v>
      </c>
      <c r="E14" s="75"/>
      <c r="F14" s="75"/>
      <c r="G14" s="75"/>
      <c r="H14" s="75"/>
      <c r="I14" s="75"/>
    </row>
    <row r="15" spans="1:12" s="35" customFormat="1" ht="12.75" x14ac:dyDescent="0.2">
      <c r="A15" s="35" t="s">
        <v>182</v>
      </c>
    </row>
    <row r="16" spans="1:12" s="35" customFormat="1" ht="12.75" x14ac:dyDescent="0.2"/>
    <row r="17" spans="1:16" s="35" customFormat="1" ht="15" x14ac:dyDescent="0.25">
      <c r="A17" s="124" t="s">
        <v>199</v>
      </c>
    </row>
    <row r="18" spans="1:16" s="35" customFormat="1" ht="12.75" x14ac:dyDescent="0.2">
      <c r="I18" s="230" t="s">
        <v>5</v>
      </c>
    </row>
    <row r="19" spans="1:16" s="35" customFormat="1" ht="12.75" x14ac:dyDescent="0.2">
      <c r="A19" s="35" t="s">
        <v>50</v>
      </c>
      <c r="I19" s="200">
        <v>328059.09000000003</v>
      </c>
    </row>
    <row r="20" spans="1:16" s="35" customFormat="1" ht="12.75" x14ac:dyDescent="0.2">
      <c r="A20" s="35" t="s">
        <v>51</v>
      </c>
      <c r="I20" s="201">
        <v>-8842.3700000000008</v>
      </c>
    </row>
    <row r="21" spans="1:16" s="35" customFormat="1" ht="12.75" x14ac:dyDescent="0.2">
      <c r="H21" s="57" t="s">
        <v>53</v>
      </c>
      <c r="I21" s="156">
        <f>SUM(I19:I20)</f>
        <v>319216.72000000003</v>
      </c>
    </row>
    <row r="22" spans="1:16" ht="12.75" x14ac:dyDescent="0.2">
      <c r="A22" s="35"/>
      <c r="I22" s="74"/>
    </row>
    <row r="23" spans="1:16" ht="15" x14ac:dyDescent="0.25">
      <c r="A23" s="124" t="s">
        <v>202</v>
      </c>
    </row>
    <row r="24" spans="1:16" s="35" customFormat="1" ht="38.25" x14ac:dyDescent="0.2">
      <c r="I24" s="230" t="s">
        <v>5</v>
      </c>
      <c r="O24" s="126" t="s">
        <v>272</v>
      </c>
    </row>
    <row r="25" spans="1:16" s="35" customFormat="1" ht="12.75" x14ac:dyDescent="0.2">
      <c r="A25" s="163" t="s">
        <v>204</v>
      </c>
      <c r="I25" s="200">
        <v>288097.08</v>
      </c>
      <c r="O25" s="232">
        <f>'.2 Direct &amp; Indirect Personnel'!J125</f>
        <v>3125898.136330226</v>
      </c>
      <c r="P25" s="35" t="s">
        <v>273</v>
      </c>
    </row>
    <row r="26" spans="1:16" s="35" customFormat="1" ht="12.75" x14ac:dyDescent="0.2">
      <c r="I26" s="125"/>
      <c r="O26" s="232">
        <f>'.2 Direct &amp; Indirect Personnel'!G156</f>
        <v>721685.99123769754</v>
      </c>
      <c r="P26" s="35" t="s">
        <v>274</v>
      </c>
    </row>
    <row r="27" spans="1:16" s="35" customFormat="1" ht="12.75" x14ac:dyDescent="0.2">
      <c r="H27" s="57" t="s">
        <v>52</v>
      </c>
      <c r="I27" s="157">
        <f>SUM(I25:I26)</f>
        <v>288097.08</v>
      </c>
      <c r="O27" s="232">
        <f>'.3 Direct &amp; Indirect Costs'!E22</f>
        <v>0</v>
      </c>
      <c r="P27" s="35" t="s">
        <v>275</v>
      </c>
    </row>
    <row r="28" spans="1:16" s="35" customFormat="1" ht="12.75" x14ac:dyDescent="0.2">
      <c r="I28" s="125"/>
      <c r="O28" s="232">
        <f>'.3 Direct &amp; Indirect Costs'!G48</f>
        <v>56812.25</v>
      </c>
      <c r="P28" s="35" t="s">
        <v>276</v>
      </c>
    </row>
    <row r="29" spans="1:16" s="35" customFormat="1" ht="12.75" x14ac:dyDescent="0.2">
      <c r="I29" s="125"/>
      <c r="O29" s="232">
        <f>'.4 Equipment Use Fee (Indirect)'!K40</f>
        <v>12226.908023483365</v>
      </c>
      <c r="P29" s="35" t="s">
        <v>277</v>
      </c>
    </row>
    <row r="30" spans="1:16" s="35" customFormat="1" ht="12.75" x14ac:dyDescent="0.2">
      <c r="H30" s="57" t="s">
        <v>54</v>
      </c>
      <c r="I30" s="158">
        <f>I21-I27</f>
        <v>31119.640000000014</v>
      </c>
      <c r="O30" s="233">
        <f>SUM(O25:O29)</f>
        <v>3916623.2855914072</v>
      </c>
      <c r="P30" s="35" t="s">
        <v>210</v>
      </c>
    </row>
    <row r="31" spans="1:16" s="35" customFormat="1" ht="39" customHeight="1" x14ac:dyDescent="0.2">
      <c r="A31" s="318" t="s">
        <v>205</v>
      </c>
      <c r="B31" s="318"/>
      <c r="C31" s="318"/>
      <c r="D31" s="318"/>
      <c r="E31" s="318"/>
      <c r="F31" s="318"/>
      <c r="G31" s="318"/>
      <c r="H31" s="318"/>
      <c r="I31" s="200">
        <v>36144.83</v>
      </c>
      <c r="J31" s="126" t="s">
        <v>194</v>
      </c>
      <c r="K31"/>
      <c r="L31"/>
      <c r="M31"/>
    </row>
    <row r="32" spans="1:16" s="35" customFormat="1" ht="12.75" x14ac:dyDescent="0.2">
      <c r="H32" s="127" t="s">
        <v>283</v>
      </c>
      <c r="I32" s="157">
        <f>I30+I31</f>
        <v>67264.470000000016</v>
      </c>
      <c r="J32" s="234">
        <f>IFERROR(I32/$I$27,0)</f>
        <v>0.23347848579374705</v>
      </c>
      <c r="K32" s="37" t="str">
        <f>IF(AND(I32&gt;0,J32&gt;10%),"Surplus must be factored into rate calculation per billing rate policy","Surplus less than 10% of annual operating expenses/(Deficit) can be factored into the rate but is not required")</f>
        <v>Surplus must be factored into rate calculation per billing rate policy</v>
      </c>
    </row>
    <row r="33" spans="3:11" s="35" customFormat="1" ht="12.75" x14ac:dyDescent="0.2">
      <c r="H33" s="57" t="s">
        <v>281</v>
      </c>
      <c r="I33" s="235">
        <f>IF(J32&gt;10%,$I$27*0.1,I32)</f>
        <v>28809.708000000002</v>
      </c>
      <c r="J33" s="159">
        <f>IFERROR(I33/$I$27,0)</f>
        <v>0.1</v>
      </c>
      <c r="K33" s="37"/>
    </row>
    <row r="34" spans="3:11" s="35" customFormat="1" ht="12.75" x14ac:dyDescent="0.2">
      <c r="H34" s="127" t="s">
        <v>282</v>
      </c>
      <c r="I34" s="236">
        <f>I32-I33</f>
        <v>38454.762000000017</v>
      </c>
      <c r="J34" s="123"/>
      <c r="K34" s="37"/>
    </row>
    <row r="35" spans="3:11" s="35" customFormat="1" ht="12.75" x14ac:dyDescent="0.2">
      <c r="H35" s="127"/>
      <c r="I35" s="160"/>
      <c r="J35" s="123"/>
      <c r="K35" s="37"/>
    </row>
    <row r="36" spans="3:11" s="35" customFormat="1" ht="12.75" x14ac:dyDescent="0.2">
      <c r="H36" s="57" t="s">
        <v>284</v>
      </c>
      <c r="I36" s="202">
        <v>60000</v>
      </c>
      <c r="J36" s="159">
        <f>IFERROR(I36/$O$30,0)</f>
        <v>1.5319318613237536E-2</v>
      </c>
      <c r="K36" s="37"/>
    </row>
    <row r="37" spans="3:11" s="35" customFormat="1" ht="12.75" x14ac:dyDescent="0.2">
      <c r="H37" s="127"/>
      <c r="I37" s="237"/>
      <c r="J37" s="123"/>
      <c r="K37" s="37"/>
    </row>
    <row r="38" spans="3:11" s="35" customFormat="1" ht="12.75" x14ac:dyDescent="0.2">
      <c r="H38" s="127" t="s">
        <v>285</v>
      </c>
      <c r="I38" s="241">
        <f>IF(I34&gt;I36,I34-I36,IF(I32&lt;0,I34,I34-I34))</f>
        <v>0</v>
      </c>
      <c r="J38" s="234">
        <f>IFERROR(I38/$O$30,0)</f>
        <v>0</v>
      </c>
      <c r="K38" s="37" t="str">
        <f>IF(AND(I38&gt;0,J38&gt;10%),"Surplus must be factored into rate calculation per billing rate policy","Surplus less than 10% of annual operating expenses/(Deficit) can be factored into the rate but is not required")</f>
        <v>Surplus less than 10% of annual operating expenses/(Deficit) can be factored into the rate but is not required</v>
      </c>
    </row>
    <row r="39" spans="3:11" s="35" customFormat="1" ht="12.75" x14ac:dyDescent="0.2">
      <c r="H39" s="127"/>
      <c r="I39" s="238"/>
      <c r="J39" s="234"/>
    </row>
    <row r="40" spans="3:11" s="35" customFormat="1" ht="12.75" x14ac:dyDescent="0.2">
      <c r="H40" s="57" t="s">
        <v>195</v>
      </c>
      <c r="I40" s="254">
        <v>2</v>
      </c>
    </row>
    <row r="41" spans="3:11" s="35" customFormat="1" ht="12.75" x14ac:dyDescent="0.2">
      <c r="H41" s="229" t="s">
        <v>256</v>
      </c>
      <c r="I41" s="161">
        <f>'.2 Direct &amp; Indirect Personnel'!$J$126</f>
        <v>72420</v>
      </c>
      <c r="J41" s="245">
        <f>I41-I47</f>
        <v>0</v>
      </c>
    </row>
    <row r="42" spans="3:11" s="35" customFormat="1" ht="12.75" x14ac:dyDescent="0.2">
      <c r="H42" s="16" t="s">
        <v>196</v>
      </c>
      <c r="I42" s="239">
        <f>I40*I41</f>
        <v>144840</v>
      </c>
    </row>
    <row r="43" spans="3:11" s="35" customFormat="1" ht="12.75" x14ac:dyDescent="0.2">
      <c r="D43" s="58"/>
      <c r="E43" s="58"/>
      <c r="F43" s="58"/>
      <c r="G43" s="58"/>
    </row>
    <row r="44" spans="3:11" s="35" customFormat="1" ht="12.75" x14ac:dyDescent="0.2">
      <c r="C44" s="282" t="s">
        <v>245</v>
      </c>
      <c r="D44" s="283"/>
      <c r="E44" s="283"/>
      <c r="F44" s="283"/>
      <c r="G44" s="283"/>
      <c r="H44" s="284"/>
    </row>
    <row r="45" spans="3:11" s="35" customFormat="1" ht="22.5" x14ac:dyDescent="0.2">
      <c r="C45" s="213" t="str">
        <f>'.2 Direct &amp; Indirect Personnel'!$D$13</f>
        <v>DESIGNER</v>
      </c>
      <c r="D45" s="213" t="str">
        <f>'.2 Direct &amp; Indirect Personnel'!$D$38</f>
        <v>CUSTOMER CONSULTANT</v>
      </c>
      <c r="E45" s="213" t="str">
        <f>'.2 Direct &amp; Indirect Personnel'!$D$52</f>
        <v>CONSTRUCTION WORKER</v>
      </c>
      <c r="F45" s="213" t="str">
        <f>'.2 Direct &amp; Indirect Personnel'!$D$77</f>
        <v>INSPECTOR</v>
      </c>
      <c r="G45" s="213" t="str">
        <f>'.2 Direct &amp; Indirect Personnel'!$D$97</f>
        <v>ASSISTANT OR STUDENT TECH</v>
      </c>
      <c r="H45" s="213" t="str">
        <f>'.2 Direct &amp; Indirect Personnel'!$D$113</f>
        <v>SITE MANAGER</v>
      </c>
    </row>
    <row r="46" spans="3:11" s="35" customFormat="1" ht="12.75" x14ac:dyDescent="0.2">
      <c r="C46" s="240" t="s">
        <v>241</v>
      </c>
      <c r="D46" s="240" t="s">
        <v>241</v>
      </c>
      <c r="E46" s="240" t="s">
        <v>243</v>
      </c>
      <c r="F46" s="240" t="s">
        <v>241</v>
      </c>
      <c r="G46" s="240" t="s">
        <v>241</v>
      </c>
      <c r="H46" s="240" t="s">
        <v>241</v>
      </c>
    </row>
    <row r="47" spans="3:11" s="35" customFormat="1" ht="12.75" x14ac:dyDescent="0.2">
      <c r="C47" s="161">
        <f>'.2 Direct &amp; Indirect Personnel'!$J$32</f>
        <v>20387</v>
      </c>
      <c r="D47" s="161">
        <f>'.2 Direct &amp; Indirect Personnel'!$J$45</f>
        <v>3412</v>
      </c>
      <c r="E47" s="161">
        <f>'.2 Direct &amp; Indirect Personnel'!$J$70</f>
        <v>22178</v>
      </c>
      <c r="F47" s="161">
        <f>'.2 Direct &amp; Indirect Personnel'!$J$90</f>
        <v>13648</v>
      </c>
      <c r="G47" s="161">
        <f>'.2 Direct &amp; Indirect Personnel'!$J$107</f>
        <v>7677</v>
      </c>
      <c r="H47" s="161">
        <f>'.2 Direct &amp; Indirect Personnel'!$J$121</f>
        <v>5118</v>
      </c>
      <c r="I47" s="214">
        <f>SUM(C47:H47)</f>
        <v>72420</v>
      </c>
      <c r="J47" s="37" t="s">
        <v>256</v>
      </c>
    </row>
    <row r="48" spans="3:11" s="35" customFormat="1" ht="12.75" x14ac:dyDescent="0.2">
      <c r="C48" s="243">
        <f t="shared" ref="C48:H48" si="0">IF(C46="Yes",$I$40*C47,0)</f>
        <v>40774</v>
      </c>
      <c r="D48" s="243">
        <f t="shared" si="0"/>
        <v>6824</v>
      </c>
      <c r="E48" s="243">
        <f t="shared" si="0"/>
        <v>0</v>
      </c>
      <c r="F48" s="243">
        <f t="shared" si="0"/>
        <v>27296</v>
      </c>
      <c r="G48" s="243">
        <f t="shared" si="0"/>
        <v>15354</v>
      </c>
      <c r="H48" s="243">
        <f t="shared" si="0"/>
        <v>10236</v>
      </c>
      <c r="I48" s="244">
        <f>SUM(C48:H48)</f>
        <v>100484</v>
      </c>
      <c r="J48" s="216" t="s">
        <v>246</v>
      </c>
    </row>
    <row r="49" spans="1:10" s="35" customFormat="1" ht="12.75" x14ac:dyDescent="0.2">
      <c r="C49" s="214"/>
      <c r="D49" s="214"/>
      <c r="E49" s="214"/>
      <c r="F49" s="214"/>
      <c r="G49" s="214"/>
      <c r="H49" s="214"/>
      <c r="I49" s="214"/>
      <c r="J49" s="216"/>
    </row>
    <row r="50" spans="1:10" s="35" customFormat="1" ht="12.75" x14ac:dyDescent="0.2">
      <c r="H50" s="16" t="s">
        <v>224</v>
      </c>
      <c r="I50" s="215">
        <f>IFERROR(I38/I48,0)</f>
        <v>0</v>
      </c>
    </row>
    <row r="51" spans="1:10" s="35" customFormat="1" ht="12.75" x14ac:dyDescent="0.2">
      <c r="H51" s="16" t="s">
        <v>286</v>
      </c>
      <c r="I51" s="242">
        <v>1</v>
      </c>
      <c r="J51" s="253" t="s">
        <v>290</v>
      </c>
    </row>
    <row r="52" spans="1:10" s="35" customFormat="1" ht="13.5" thickBot="1" x14ac:dyDescent="0.25">
      <c r="H52" s="16" t="s">
        <v>287</v>
      </c>
      <c r="I52" s="206">
        <f>ROUND((I50*I51),2)</f>
        <v>0</v>
      </c>
      <c r="J52" s="37" t="s">
        <v>257</v>
      </c>
    </row>
    <row r="53" spans="1:10" s="35" customFormat="1" ht="13.5" thickTop="1" x14ac:dyDescent="0.2"/>
    <row r="54" spans="1:10" s="35" customFormat="1" ht="13.5" thickBot="1" x14ac:dyDescent="0.25"/>
    <row r="55" spans="1:10" s="35" customFormat="1" ht="13.5" thickBot="1" x14ac:dyDescent="0.25">
      <c r="A55" s="203" t="s">
        <v>197</v>
      </c>
      <c r="B55" s="204"/>
      <c r="C55" s="204"/>
      <c r="D55" s="204"/>
      <c r="E55" s="204"/>
      <c r="F55" s="204"/>
      <c r="G55" s="204"/>
      <c r="H55" s="204"/>
      <c r="I55" s="205"/>
    </row>
    <row r="56" spans="1:10" ht="11.25" customHeight="1" x14ac:dyDescent="0.2">
      <c r="A56" s="307" t="s">
        <v>198</v>
      </c>
      <c r="B56" s="308"/>
      <c r="C56" s="308"/>
      <c r="D56" s="308"/>
      <c r="E56" s="308"/>
      <c r="F56" s="308"/>
      <c r="G56" s="308"/>
      <c r="H56" s="308"/>
      <c r="I56" s="309"/>
    </row>
    <row r="57" spans="1:10" x14ac:dyDescent="0.2">
      <c r="A57" s="310"/>
      <c r="B57" s="311"/>
      <c r="C57" s="311"/>
      <c r="D57" s="311"/>
      <c r="E57" s="311"/>
      <c r="F57" s="311"/>
      <c r="G57" s="311"/>
      <c r="H57" s="311"/>
      <c r="I57" s="312"/>
    </row>
    <row r="58" spans="1:10" x14ac:dyDescent="0.2">
      <c r="A58" s="310"/>
      <c r="B58" s="311"/>
      <c r="C58" s="311"/>
      <c r="D58" s="311"/>
      <c r="E58" s="311"/>
      <c r="F58" s="311"/>
      <c r="G58" s="311"/>
      <c r="H58" s="311"/>
      <c r="I58" s="312"/>
    </row>
    <row r="59" spans="1:10" x14ac:dyDescent="0.2">
      <c r="A59" s="310"/>
      <c r="B59" s="311"/>
      <c r="C59" s="311"/>
      <c r="D59" s="311"/>
      <c r="E59" s="311"/>
      <c r="F59" s="311"/>
      <c r="G59" s="311"/>
      <c r="H59" s="311"/>
      <c r="I59" s="312"/>
      <c r="J59" s="253" t="s">
        <v>290</v>
      </c>
    </row>
    <row r="60" spans="1:10" x14ac:dyDescent="0.2">
      <c r="A60" s="310"/>
      <c r="B60" s="311"/>
      <c r="C60" s="311"/>
      <c r="D60" s="311"/>
      <c r="E60" s="311"/>
      <c r="F60" s="311"/>
      <c r="G60" s="311"/>
      <c r="H60" s="311"/>
      <c r="I60" s="312"/>
    </row>
    <row r="61" spans="1:10" x14ac:dyDescent="0.2">
      <c r="A61" s="310"/>
      <c r="B61" s="311"/>
      <c r="C61" s="311"/>
      <c r="D61" s="311"/>
      <c r="E61" s="311"/>
      <c r="F61" s="311"/>
      <c r="G61" s="311"/>
      <c r="H61" s="311"/>
      <c r="I61" s="312"/>
    </row>
    <row r="62" spans="1:10" x14ac:dyDescent="0.2">
      <c r="A62" s="310"/>
      <c r="B62" s="311"/>
      <c r="C62" s="311"/>
      <c r="D62" s="311"/>
      <c r="E62" s="311"/>
      <c r="F62" s="311"/>
      <c r="G62" s="311"/>
      <c r="H62" s="311"/>
      <c r="I62" s="312"/>
    </row>
    <row r="63" spans="1:10" ht="12" thickBot="1" x14ac:dyDescent="0.25">
      <c r="A63" s="313"/>
      <c r="B63" s="314"/>
      <c r="C63" s="314"/>
      <c r="D63" s="314"/>
      <c r="E63" s="314"/>
      <c r="F63" s="314"/>
      <c r="G63" s="314"/>
      <c r="H63" s="314"/>
      <c r="I63" s="315"/>
    </row>
  </sheetData>
  <mergeCells count="8">
    <mergeCell ref="C44:H44"/>
    <mergeCell ref="A56:I63"/>
    <mergeCell ref="A3:I3"/>
    <mergeCell ref="A5:I5"/>
    <mergeCell ref="A7:I7"/>
    <mergeCell ref="A8:I8"/>
    <mergeCell ref="A6:I6"/>
    <mergeCell ref="A31:H31"/>
  </mergeCells>
  <pageMargins left="0.7" right="0.7" top="0.75" bottom="0.75" header="0.3" footer="0.3"/>
  <pageSetup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 Cover</vt:lpstr>
      <vt:lpstr>.2 Direct &amp; Indirect Personnel</vt:lpstr>
      <vt:lpstr>.3 Direct &amp; Indirect Costs</vt:lpstr>
      <vt:lpstr>.4 Equipment Use Fee (Indirect)</vt:lpstr>
      <vt:lpstr>.5 Lookback Analysis</vt:lpstr>
      <vt:lpstr>'.1 Cover'!Print_Area</vt:lpstr>
      <vt:lpstr>'.2 Direct &amp; Indirect Personnel'!Print_Area</vt:lpstr>
      <vt:lpstr>'.3 Direct &amp; Indirect Costs'!Print_Area</vt:lpstr>
      <vt:lpstr>'.4 Equipment Use Fee (Indirect)'!Print_Area</vt:lpstr>
      <vt:lpstr>'.5 Lookback Analysis'!Print_Area</vt:lpstr>
      <vt:lpstr>'.2 Direct &amp; Indirect Personnel'!Print_Titles</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2012-02-07T21:02:53Z</cp:lastPrinted>
  <dcterms:created xsi:type="dcterms:W3CDTF">2007-10-18T17:01:47Z</dcterms:created>
  <dcterms:modified xsi:type="dcterms:W3CDTF">2025-02-28T19:53:20Z</dcterms:modified>
</cp:coreProperties>
</file>